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esfire-my.sharepoint.com/personal/dvangelov_mesfire_com/Documents/Desktop/Revolvair Systems/RevolveAir Configurator/Config 11.0/"/>
    </mc:Choice>
  </mc:AlternateContent>
  <xr:revisionPtr revIDLastSave="0" documentId="8_{12F4FFA1-1553-4FE1-8992-66160FAA8C38}" xr6:coauthVersionLast="47" xr6:coauthVersionMax="47" xr10:uidLastSave="{00000000-0000-0000-0000-000000000000}"/>
  <workbookProtection workbookAlgorithmName="SHA-512" workbookHashValue="dI80bDpXZ8MJxtI063QH4J0ttepX+Ju3wyW28Be6COrpmPw/cGLos5NQEi6S+RGnL9n2XrHrqCynGzK5k6ZsHw==" workbookSaltValue="g2/JpsD1H+oF+X7fEhHdUg==" workbookSpinCount="100000" lockStructure="1"/>
  <bookViews>
    <workbookView xWindow="-110" yWindow="-110" windowWidth="19420" windowHeight="10420" tabRatio="785" xr2:uid="{D9E1E012-4F07-4516-81A6-B8D759C88555}"/>
  </bookViews>
  <sheets>
    <sheet name="Configurator" sheetId="4" r:id="rId1"/>
    <sheet name="Fill Station" sheetId="1" state="veryHidden" r:id="rId2"/>
    <sheet name="Compressor" sheetId="2" state="veryHidden" r:id="rId3"/>
    <sheet name="Storage" sheetId="3" state="veryHidden" r:id="rId4"/>
    <sheet name="Ref" sheetId="5" state="veryHidden" r:id="rId5"/>
  </sheets>
  <externalReferences>
    <externalReference r:id="rId6"/>
  </externalReferences>
  <definedNames>
    <definedName name="_6000_psi_5_Stage_Compressor_10_Horsepower">Ref!$C$12:$C$15</definedName>
    <definedName name="_6000_psi_5_Stage_Compressor_20_Horsepower">Ref!$D$12:$D$14</definedName>
    <definedName name="_6000_psi_5_Stage_Compressor_30_Horsepower">Ref!$D$12:$D$14</definedName>
    <definedName name="_7000_psi_5_Stage_Compressor_10_Horsepower">Ref!$C$12:$C$15</definedName>
    <definedName name="_7000_psi_5_Stage_Compressor_20_Horsepower">Ref!$D$12:$D$14</definedName>
    <definedName name="_7000_psi_5_Stage_Compressor_30_Horsepower">Ref!$D$12:$D$14</definedName>
    <definedName name="Charge_Options_N">[1]Data!$C$28:$C$31</definedName>
    <definedName name="Compressor">Ref!$A$12:$A$17</definedName>
    <definedName name="FillPanel">Ref!$A$3:$A$6</definedName>
    <definedName name="FillStation">Ref!$A$30:$C$30</definedName>
    <definedName name="None">Ref!$C$3</definedName>
    <definedName name="Revolveair">Ref!$A$31:$A$38</definedName>
    <definedName name="RevolveairMobile">Ref!$C$31:$C$38</definedName>
    <definedName name="RevolveairWAttachedStorage">Ref!$B$31</definedName>
    <definedName name="StationaryBulkFilling">Ref!$C$3</definedName>
    <definedName name="StationaryWAutoCascade">Ref!$E$3:$E$4</definedName>
    <definedName name="StationaryWManualCascade">Ref!$D$3:$D$7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6" i="5" l="1" a="1"/>
  <c r="H46" i="5" s="1"/>
  <c r="E33" i="4" l="1"/>
  <c r="C33" i="4"/>
  <c r="C6" i="4" l="1"/>
  <c r="U36" i="5"/>
  <c r="V36" i="5" s="1"/>
  <c r="U35" i="5"/>
  <c r="T43" i="5" s="1"/>
  <c r="B11" i="5"/>
  <c r="C16" i="4"/>
  <c r="E16" i="4"/>
  <c r="U43" i="5" l="1"/>
  <c r="T14" i="5"/>
  <c r="U14" i="5" s="1"/>
  <c r="T12" i="5"/>
  <c r="U12" i="5" s="1"/>
  <c r="T16" i="5"/>
  <c r="U16" i="5" s="1"/>
  <c r="T15" i="5"/>
  <c r="U15" i="5" s="1"/>
  <c r="T13" i="5"/>
  <c r="U13" i="5" s="1"/>
  <c r="L25" i="5"/>
  <c r="T46" i="5"/>
  <c r="U46" i="5" s="1"/>
  <c r="T49" i="5"/>
  <c r="U49" i="5" s="1"/>
  <c r="T45" i="5"/>
  <c r="U45" i="5" s="1"/>
  <c r="T48" i="5"/>
  <c r="U48" i="5" s="1"/>
  <c r="T44" i="5"/>
  <c r="U44" i="5" s="1"/>
  <c r="T42" i="5"/>
  <c r="U42" i="5" s="1"/>
  <c r="T47" i="5"/>
  <c r="U47" i="5" s="1"/>
  <c r="C29" i="4"/>
  <c r="L38" i="5" l="1"/>
  <c r="L34" i="5"/>
  <c r="L30" i="5"/>
  <c r="L37" i="5"/>
  <c r="L33" i="5"/>
  <c r="L29" i="5"/>
  <c r="L36" i="5"/>
  <c r="L32" i="5"/>
  <c r="L28" i="5"/>
  <c r="L35" i="5"/>
  <c r="L31" i="5"/>
  <c r="L27" i="5"/>
  <c r="E29" i="4"/>
  <c r="E6" i="4" l="1"/>
  <c r="E34" i="4" l="1"/>
  <c r="C25" i="4" l="1"/>
  <c r="C34" i="4" s="1"/>
  <c r="L13" i="5" l="1" a="1"/>
  <c r="L13" i="5" s="1"/>
  <c r="L3" i="5" a="1"/>
  <c r="L3" i="5" s="1"/>
  <c r="E31" i="4" l="1"/>
  <c r="C31" i="4"/>
  <c r="E20" i="4"/>
  <c r="C20" i="4"/>
  <c r="E32" i="4" l="1"/>
  <c r="E11" i="4" l="1"/>
  <c r="C11" i="4"/>
  <c r="H20" i="4" l="1"/>
  <c r="H19" i="4"/>
  <c r="C32" i="4" l="1"/>
  <c r="C30" i="4"/>
  <c r="E30" i="4"/>
  <c r="E26" i="4" l="1"/>
  <c r="H18" i="4" s="1"/>
  <c r="E25" i="4" l="1"/>
  <c r="H22" i="4" l="1"/>
  <c r="H23" i="4" l="1"/>
  <c r="E19" i="4"/>
  <c r="C19" i="4"/>
  <c r="E18" i="4"/>
  <c r="C18" i="4"/>
  <c r="E17" i="4"/>
  <c r="C17" i="4"/>
  <c r="C7" i="4"/>
  <c r="C8" i="4"/>
  <c r="C9" i="4"/>
  <c r="C10" i="4"/>
  <c r="E10" i="4"/>
  <c r="E7" i="4"/>
  <c r="E9" i="4"/>
  <c r="E8" i="4"/>
  <c r="H13" i="4" l="1"/>
  <c r="H8" i="4"/>
  <c r="H9" i="4"/>
  <c r="H27" i="4" l="1"/>
  <c r="H1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<sst xmlns="http://schemas.openxmlformats.org/spreadsheetml/2006/main" count="723" uniqueCount="239">
  <si>
    <t>Revolveair</t>
  </si>
  <si>
    <t>Model</t>
  </si>
  <si>
    <t>Fill Panel</t>
  </si>
  <si>
    <t>None</t>
  </si>
  <si>
    <t>No</t>
  </si>
  <si>
    <t>Yes</t>
  </si>
  <si>
    <t>Auxillary Low Pressure</t>
  </si>
  <si>
    <t>Auxillary High Pressure</t>
  </si>
  <si>
    <t>Cascade Panel</t>
  </si>
  <si>
    <t>00</t>
  </si>
  <si>
    <t>02</t>
  </si>
  <si>
    <t>03</t>
  </si>
  <si>
    <t>04</t>
  </si>
  <si>
    <t>05</t>
  </si>
  <si>
    <t>06</t>
  </si>
  <si>
    <t>A0</t>
  </si>
  <si>
    <t>4 bank auto cascade with separate storage</t>
  </si>
  <si>
    <t>A4</t>
  </si>
  <si>
    <t>6 bank manual cascade</t>
  </si>
  <si>
    <t>CGA Adapter</t>
  </si>
  <si>
    <t>DIN Adapter</t>
  </si>
  <si>
    <t>01</t>
  </si>
  <si>
    <t>Code</t>
  </si>
  <si>
    <t>Description</t>
  </si>
  <si>
    <t>11</t>
  </si>
  <si>
    <t>Options</t>
  </si>
  <si>
    <t>2 bank manual cascade</t>
  </si>
  <si>
    <t>3 bank manual cascade</t>
  </si>
  <si>
    <t>4 bank manual cascade</t>
  </si>
  <si>
    <t>5 bank manual cascade</t>
  </si>
  <si>
    <t>4 bank auto cascade with attached storage</t>
  </si>
  <si>
    <t>460 Volt/ 3 Phase/ 60Hz</t>
  </si>
  <si>
    <t>Voltage/ Phase/ Hz</t>
  </si>
  <si>
    <t>4</t>
  </si>
  <si>
    <t>Controller</t>
  </si>
  <si>
    <t>Basic</t>
  </si>
  <si>
    <t>CO Monitor</t>
  </si>
  <si>
    <t>Dew Point</t>
  </si>
  <si>
    <t>CO Dew Point</t>
  </si>
  <si>
    <t>CO Monitor with Cal Kit</t>
  </si>
  <si>
    <t>CO Dew Point with Cal Kit</t>
  </si>
  <si>
    <t>3</t>
  </si>
  <si>
    <t>2</t>
  </si>
  <si>
    <t>Language</t>
  </si>
  <si>
    <t>English</t>
  </si>
  <si>
    <t>Spanish</t>
  </si>
  <si>
    <t>Voltage</t>
  </si>
  <si>
    <t>Part Number</t>
  </si>
  <si>
    <t>FILL STATION</t>
  </si>
  <si>
    <t>Revolveair Systems</t>
  </si>
  <si>
    <t xml:space="preserve">Revolveair Systems </t>
  </si>
  <si>
    <t>COMPRESSOR</t>
  </si>
  <si>
    <t>Cylinder Type</t>
  </si>
  <si>
    <t>Rack</t>
  </si>
  <si>
    <t>Quantity</t>
  </si>
  <si>
    <t>Plumbing</t>
  </si>
  <si>
    <t>Hose Length</t>
  </si>
  <si>
    <t>UN 6000 PSI</t>
  </si>
  <si>
    <t>Verticle Stand Alone 2</t>
  </si>
  <si>
    <t>Verticle Stand Alone 4</t>
  </si>
  <si>
    <t>Horizontal 2</t>
  </si>
  <si>
    <t>Horizontal 4</t>
  </si>
  <si>
    <t>Horizontal 6</t>
  </si>
  <si>
    <t>One</t>
  </si>
  <si>
    <t>Two</t>
  </si>
  <si>
    <t>Three</t>
  </si>
  <si>
    <t>Four</t>
  </si>
  <si>
    <t>Five</t>
  </si>
  <si>
    <t>Six</t>
  </si>
  <si>
    <t>4 Bank Auto Cascade</t>
  </si>
  <si>
    <t>2 Cascade</t>
  </si>
  <si>
    <t>3 Cascade</t>
  </si>
  <si>
    <t>4 Cascade</t>
  </si>
  <si>
    <t>5 Cascade</t>
  </si>
  <si>
    <t>6 Cascade</t>
  </si>
  <si>
    <t>10 Feet</t>
  </si>
  <si>
    <t>15 Feet</t>
  </si>
  <si>
    <t>20 Feet</t>
  </si>
  <si>
    <t>25 Feet</t>
  </si>
  <si>
    <t>30 Feet</t>
  </si>
  <si>
    <t>40 Feet</t>
  </si>
  <si>
    <t>50 Feet</t>
  </si>
  <si>
    <t>60 Feet</t>
  </si>
  <si>
    <t>70 Feet</t>
  </si>
  <si>
    <t>80 Feet</t>
  </si>
  <si>
    <t>90 Feet</t>
  </si>
  <si>
    <t>8HP586C 6000</t>
  </si>
  <si>
    <t>8BA711 7000</t>
  </si>
  <si>
    <t>M.S.R.P.</t>
  </si>
  <si>
    <t>MSRP</t>
  </si>
  <si>
    <t>CODE</t>
  </si>
  <si>
    <t>C2</t>
  </si>
  <si>
    <t>C3</t>
  </si>
  <si>
    <t>C4</t>
  </si>
  <si>
    <t>C5</t>
  </si>
  <si>
    <t>C6</t>
  </si>
  <si>
    <t>10</t>
  </si>
  <si>
    <t>15</t>
  </si>
  <si>
    <t>20</t>
  </si>
  <si>
    <t>25</t>
  </si>
  <si>
    <t>30</t>
  </si>
  <si>
    <t>40</t>
  </si>
  <si>
    <t>50</t>
  </si>
  <si>
    <t>60</t>
  </si>
  <si>
    <t>70</t>
  </si>
  <si>
    <t>80</t>
  </si>
  <si>
    <t>90</t>
  </si>
  <si>
    <t>With Revolveair</t>
  </si>
  <si>
    <t>ASME 7000 PSI</t>
  </si>
  <si>
    <t>Total M.S.R.P.</t>
  </si>
  <si>
    <t>ORDER SUMMARY</t>
  </si>
  <si>
    <t>Fill Station</t>
  </si>
  <si>
    <t>Name</t>
  </si>
  <si>
    <t>Range Address</t>
  </si>
  <si>
    <t>D3:D7</t>
  </si>
  <si>
    <t>E3:E4</t>
  </si>
  <si>
    <t>StationaryWManualCascade</t>
  </si>
  <si>
    <t>StationaryWAutoCascade</t>
  </si>
  <si>
    <t>A3:A6</t>
  </si>
  <si>
    <t>FillPanel</t>
  </si>
  <si>
    <t>Compressor</t>
  </si>
  <si>
    <t>208-230 Volt/ 1 Phase/ 60Hz</t>
  </si>
  <si>
    <t>208-230 Volt/ 3 Phase/ 60Hz</t>
  </si>
  <si>
    <t>International Orders- To Be Quoted Individually</t>
  </si>
  <si>
    <t>09</t>
  </si>
  <si>
    <t>10HP</t>
  </si>
  <si>
    <t>20/30HP</t>
  </si>
  <si>
    <t>_6000_psi_5_Stage_Compressor_10_Horsepower</t>
  </si>
  <si>
    <t>_6000_psi_5_Stage_Compressor_20_Horsepower</t>
  </si>
  <si>
    <t>StoragePlumbing_FillPanel</t>
  </si>
  <si>
    <t>_6000_psi_5_Stage_Compressor_30_Horsepower</t>
  </si>
  <si>
    <t>_7000_psi_5_Stage_Compressor_10_Horsepower</t>
  </si>
  <si>
    <t>_7000_psi_5_Stage_Compressor_20_Horsepower</t>
  </si>
  <si>
    <t>_7000_psi_5_Stage_Compressor_30_Horsepower</t>
  </si>
  <si>
    <t>STORAGE CYLINDERS</t>
  </si>
  <si>
    <t>STORAGE PLUMBING AND RETENTION</t>
  </si>
  <si>
    <t>07</t>
  </si>
  <si>
    <t>08</t>
  </si>
  <si>
    <t>5</t>
  </si>
  <si>
    <t>6</t>
  </si>
  <si>
    <t>Revolveair with attached storage</t>
  </si>
  <si>
    <t>StationaryBulkFilling</t>
  </si>
  <si>
    <t>RevolveairWAttachedStorage</t>
  </si>
  <si>
    <t>RevolveairMobile</t>
  </si>
  <si>
    <t>1</t>
  </si>
  <si>
    <t>25' High Pressure Supply Hose- Compressor to Fill Station</t>
  </si>
  <si>
    <t>0</t>
  </si>
  <si>
    <t>7</t>
  </si>
  <si>
    <t>8</t>
  </si>
  <si>
    <t>9</t>
  </si>
  <si>
    <t>1 Storage Cylinder HP Hose</t>
  </si>
  <si>
    <t>2 Storage Cylinder HP Hoses</t>
  </si>
  <si>
    <t>3 Storage Cylinder HP Hoses</t>
  </si>
  <si>
    <t>HP Hoses- Storage to Fill Station</t>
  </si>
  <si>
    <t>4 Storage Cylinder HP Hoses</t>
  </si>
  <si>
    <t>5 Storage Cylinder HP Hoses</t>
  </si>
  <si>
    <t>6 Storage Cylinder HP Hoses</t>
  </si>
  <si>
    <t>7 Storage Cylinder HP Hoses</t>
  </si>
  <si>
    <t>8 Storage Cylinder HP Hoses</t>
  </si>
  <si>
    <t>9 Storage Cylinder HP Hoses</t>
  </si>
  <si>
    <t>No HP Storage Hoses Needed</t>
  </si>
  <si>
    <t>Hose Length- each</t>
  </si>
  <si>
    <t>HoseLength_FillPanel</t>
  </si>
  <si>
    <t>CASCADE PANELS</t>
  </si>
  <si>
    <t>CascadePanel_Selections</t>
  </si>
  <si>
    <t>HPStorage</t>
  </si>
  <si>
    <t>RACK</t>
  </si>
  <si>
    <t>Rack_Selections</t>
  </si>
  <si>
    <t>12</t>
  </si>
  <si>
    <t>A</t>
  </si>
  <si>
    <t>U</t>
  </si>
  <si>
    <t>10HP-02</t>
  </si>
  <si>
    <t>10HP-03</t>
  </si>
  <si>
    <t>10HP-04</t>
  </si>
  <si>
    <t>20HP</t>
  </si>
  <si>
    <t>30HP</t>
  </si>
  <si>
    <t>20HP-04</t>
  </si>
  <si>
    <t>20HP-03</t>
  </si>
  <si>
    <t>30HP-03</t>
  </si>
  <si>
    <t>1 Cyl</t>
  </si>
  <si>
    <t>2 Cyl</t>
  </si>
  <si>
    <t>3 Cyl</t>
  </si>
  <si>
    <t>4 Cyl</t>
  </si>
  <si>
    <t>5 Cyl</t>
  </si>
  <si>
    <t>6 Cyl</t>
  </si>
  <si>
    <t>C1</t>
  </si>
  <si>
    <t>SCUBA adapter Revolveair &amp; CGA- hose and bracket</t>
  </si>
  <si>
    <t>SCUBA adapter Revolveair &amp; DIN- hose and bracket</t>
  </si>
  <si>
    <t>100 feet</t>
  </si>
  <si>
    <t>100</t>
  </si>
  <si>
    <t>_6000_psi_4_Stage_Compressor_10_Horsepower_PIVOTAIR</t>
  </si>
  <si>
    <t>PivotAir</t>
  </si>
  <si>
    <t>Revolveair and PivotAir - Storage Plumbing and Retention</t>
  </si>
  <si>
    <t>1 Revolveair</t>
  </si>
  <si>
    <t>2 Revolveair</t>
  </si>
  <si>
    <t>3 Revolveair</t>
  </si>
  <si>
    <t>4 Revolveair</t>
  </si>
  <si>
    <t>5 Revolveair</t>
  </si>
  <si>
    <t>6 Revolveair</t>
  </si>
  <si>
    <t>7 Revolveair</t>
  </si>
  <si>
    <t>8 Revolveair</t>
  </si>
  <si>
    <t>1 RevolveairWAttachedStorage</t>
  </si>
  <si>
    <t>2 RevolveairWAttachedStorage</t>
  </si>
  <si>
    <t>3 RevolveairWAttachedStorage</t>
  </si>
  <si>
    <t>4 RevolveairWAttachedStorage</t>
  </si>
  <si>
    <t>5 RevolveairWAttachedStorage</t>
  </si>
  <si>
    <t>6 RevolveairWAttachedStorage</t>
  </si>
  <si>
    <t>7 RevolveairWAttachedStorage</t>
  </si>
  <si>
    <t>8 RevolveairWAttachedStorage</t>
  </si>
  <si>
    <t>1 RevolveairMobile</t>
  </si>
  <si>
    <t>2 RevolveairMobile</t>
  </si>
  <si>
    <t>3 RevolveairMobile</t>
  </si>
  <si>
    <t>4 RevolveairMobile</t>
  </si>
  <si>
    <t>5 RevolveairMobile</t>
  </si>
  <si>
    <t>6 RevolveairMobile</t>
  </si>
  <si>
    <t>7 RevolveairMobile</t>
  </si>
  <si>
    <t>8 RevolveairMobile</t>
  </si>
  <si>
    <t>1 PivotAir</t>
  </si>
  <si>
    <t>2 PivotAir</t>
  </si>
  <si>
    <t>3 PivotAir</t>
  </si>
  <si>
    <t>4 PivotAir</t>
  </si>
  <si>
    <t>5 PivotAir</t>
  </si>
  <si>
    <t>6 PivotAir</t>
  </si>
  <si>
    <t>7 PivotAir</t>
  </si>
  <si>
    <t>8 PivotAir</t>
  </si>
  <si>
    <t>RevolveAir_10HP 208-230 Volt/ 1 Phase/ 60Hz</t>
  </si>
  <si>
    <t>RevolveAir_10HP 208-230 Volt/ 3 Phase/ 60Hz</t>
  </si>
  <si>
    <t>RevolveAir_10HP 460 Volt/ 3 Phase/ 60Hz</t>
  </si>
  <si>
    <t>PivotAir_10HP 208-230 Volt/ 1 Phase/ 60Hz</t>
  </si>
  <si>
    <t>PivotAir_10HP 208-230 Volt/ 3 Phase/ 60Hz</t>
  </si>
  <si>
    <t>PivotAir_10HP 460 Volt/ 3 Phase/ 60Hz</t>
  </si>
  <si>
    <t>RevolveAir_20HP 208-230 Volt/ 3 Phase/ 60Hz</t>
  </si>
  <si>
    <t>RevolveAir_20HP 460 Volt/ 3 Phase/ 60Hz</t>
  </si>
  <si>
    <t>RevolveAir_30HP 208-230 Volt/ 3 Phase/ 60Hz</t>
  </si>
  <si>
    <t>RevolveAir_30HP 460 Volt/ 3 Phase/ 60Hz</t>
  </si>
  <si>
    <t>Wall 4-6 (6000psi Only)</t>
  </si>
  <si>
    <t>Wall 2-3 (6000psi Only)</t>
  </si>
  <si>
    <r>
      <t>Cylinder Type-</t>
    </r>
    <r>
      <rPr>
        <b/>
        <sz val="7"/>
        <color theme="0"/>
        <rFont val="Calibri"/>
        <family val="2"/>
        <scheme val="minor"/>
      </rPr>
      <t xml:space="preserve"> (includes valve/fittings)</t>
    </r>
  </si>
  <si>
    <t>REVOLVEAIR SYSTEMS COMPRESSOR AND FILL STATION PRODUCT CONFIGURATOR- (Rev-11.0)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</si>
</sst>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72"/>
      <color theme="1"/>
      <name val="Calibri"/>
      <family val="2"/>
      <scheme val="minor"/>
    </font>
    <font>
      <sz val="4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theme="1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indexed="64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indexed="64"/>
      </right>
      <top style="thin">
        <color theme="0"/>
      </top>
      <bottom style="medium">
        <color theme="0"/>
      </bottom>
      <diagonal/>
    </border>
    <border>
      <left style="medium">
        <color indexed="64"/>
      </left>
      <right/>
      <top/>
      <bottom style="medium">
        <color theme="0"/>
      </bottom>
      <diagonal/>
    </border>
    <border>
      <left/>
      <right style="medium">
        <color indexed="64"/>
      </right>
      <top/>
      <bottom style="medium">
        <color theme="0"/>
      </bottom>
      <diagonal/>
    </border>
    <border>
      <left style="medium">
        <color indexed="64"/>
      </left>
      <right/>
      <top style="medium">
        <color theme="0"/>
      </top>
      <bottom/>
      <diagonal/>
    </border>
    <border>
      <left/>
      <right style="medium">
        <color indexed="64"/>
      </right>
      <top style="medium">
        <color theme="0"/>
      </top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5" fillId="8" borderId="6"/>
    <xf numFmtId="9" fontId="7" fillId="0" borderId="0" applyFont="0" applyFill="0" applyBorder="0" applyAlignment="0" applyProtection="0"/>
  </cellStyleXfs>
  <cellXfs count="136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Alignment="1">
      <alignment horizontal="right"/>
    </xf>
    <xf numFmtId="0" fontId="0" fillId="5" borderId="0" xfId="0" applyFill="1"/>
    <xf numFmtId="0" fontId="0" fillId="5" borderId="10" xfId="0" applyFill="1" applyBorder="1"/>
    <xf numFmtId="0" fontId="0" fillId="5" borderId="11" xfId="0" applyFill="1" applyBorder="1"/>
    <xf numFmtId="0" fontId="0" fillId="5" borderId="7" xfId="0" applyFill="1" applyBorder="1"/>
    <xf numFmtId="0" fontId="0" fillId="5" borderId="8" xfId="0" applyFill="1" applyBorder="1"/>
    <xf numFmtId="0" fontId="0" fillId="5" borderId="9" xfId="0" applyFill="1" applyBorder="1"/>
    <xf numFmtId="0" fontId="0" fillId="2" borderId="0" xfId="0" applyFill="1"/>
    <xf numFmtId="0" fontId="8" fillId="5" borderId="10" xfId="0" applyFont="1" applyFill="1" applyBorder="1"/>
    <xf numFmtId="49" fontId="0" fillId="2" borderId="1" xfId="0" applyNumberFormat="1" applyFill="1" applyBorder="1" applyAlignment="1">
      <alignment horizontal="right"/>
    </xf>
    <xf numFmtId="0" fontId="0" fillId="2" borderId="1" xfId="0" applyFill="1" applyBorder="1"/>
    <xf numFmtId="164" fontId="0" fillId="0" borderId="1" xfId="0" applyNumberFormat="1" applyBorder="1"/>
    <xf numFmtId="49" fontId="0" fillId="2" borderId="3" xfId="0" applyNumberFormat="1" applyFill="1" applyBorder="1" applyAlignment="1">
      <alignment horizontal="right"/>
    </xf>
    <xf numFmtId="0" fontId="0" fillId="2" borderId="3" xfId="0" applyFill="1" applyBorder="1"/>
    <xf numFmtId="49" fontId="0" fillId="0" borderId="0" xfId="0" applyNumberFormat="1"/>
    <xf numFmtId="49" fontId="0" fillId="2" borderId="3" xfId="0" applyNumberFormat="1" applyFill="1" applyBorder="1"/>
    <xf numFmtId="49" fontId="0" fillId="2" borderId="1" xfId="0" applyNumberFormat="1" applyFill="1" applyBorder="1"/>
    <xf numFmtId="0" fontId="4" fillId="3" borderId="7" xfId="0" applyFont="1" applyFill="1" applyBorder="1"/>
    <xf numFmtId="0" fontId="1" fillId="3" borderId="8" xfId="0" applyFont="1" applyFill="1" applyBorder="1" applyAlignment="1">
      <alignment horizontal="center"/>
    </xf>
    <xf numFmtId="0" fontId="0" fillId="3" borderId="8" xfId="0" applyFill="1" applyBorder="1"/>
    <xf numFmtId="0" fontId="1" fillId="6" borderId="8" xfId="0" applyFont="1" applyFill="1" applyBorder="1" applyAlignment="1">
      <alignment horizontal="center"/>
    </xf>
    <xf numFmtId="0" fontId="0" fillId="2" borderId="10" xfId="0" applyFill="1" applyBorder="1"/>
    <xf numFmtId="0" fontId="0" fillId="2" borderId="12" xfId="0" applyFill="1" applyBorder="1"/>
    <xf numFmtId="0" fontId="0" fillId="2" borderId="13" xfId="0" applyFill="1" applyBorder="1"/>
    <xf numFmtId="0" fontId="0" fillId="7" borderId="13" xfId="0" applyFill="1" applyBorder="1"/>
    <xf numFmtId="164" fontId="0" fillId="7" borderId="13" xfId="0" applyNumberFormat="1" applyFill="1" applyBorder="1"/>
    <xf numFmtId="0" fontId="0" fillId="4" borderId="13" xfId="0" applyFill="1" applyBorder="1"/>
    <xf numFmtId="0" fontId="0" fillId="0" borderId="13" xfId="0" applyBorder="1"/>
    <xf numFmtId="164" fontId="1" fillId="6" borderId="8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16" xfId="0" applyFont="1" applyBorder="1"/>
    <xf numFmtId="0" fontId="12" fillId="10" borderId="0" xfId="0" applyFont="1" applyFill="1"/>
    <xf numFmtId="0" fontId="11" fillId="0" borderId="0" xfId="0" applyFont="1"/>
    <xf numFmtId="0" fontId="12" fillId="2" borderId="0" xfId="0" applyFont="1" applyFill="1"/>
    <xf numFmtId="0" fontId="1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64" fontId="0" fillId="11" borderId="3" xfId="0" applyNumberFormat="1" applyFill="1" applyBorder="1"/>
    <xf numFmtId="164" fontId="0" fillId="11" borderId="1" xfId="0" applyNumberFormat="1" applyFill="1" applyBorder="1"/>
    <xf numFmtId="164" fontId="0" fillId="9" borderId="3" xfId="0" applyNumberFormat="1" applyFill="1" applyBorder="1"/>
    <xf numFmtId="49" fontId="0" fillId="2" borderId="2" xfId="0" applyNumberFormat="1" applyFill="1" applyBorder="1" applyAlignment="1">
      <alignment horizontal="right"/>
    </xf>
    <xf numFmtId="49" fontId="0" fillId="2" borderId="5" xfId="0" applyNumberFormat="1" applyFill="1" applyBorder="1" applyAlignment="1">
      <alignment horizontal="right"/>
    </xf>
    <xf numFmtId="49" fontId="0" fillId="2" borderId="4" xfId="0" applyNumberFormat="1" applyFill="1" applyBorder="1" applyAlignment="1">
      <alignment horizontal="right"/>
    </xf>
    <xf numFmtId="0" fontId="1" fillId="5" borderId="23" xfId="0" applyFont="1" applyFill="1" applyBorder="1" applyAlignment="1">
      <alignment horizontal="center"/>
    </xf>
    <xf numFmtId="0" fontId="3" fillId="0" borderId="5" xfId="0" applyFont="1" applyBorder="1"/>
    <xf numFmtId="0" fontId="3" fillId="0" borderId="24" xfId="0" applyFont="1" applyBorder="1"/>
    <xf numFmtId="0" fontId="1" fillId="3" borderId="7" xfId="0" applyFont="1" applyFill="1" applyBorder="1"/>
    <xf numFmtId="0" fontId="1" fillId="2" borderId="18" xfId="0" applyFont="1" applyFill="1" applyBorder="1"/>
    <xf numFmtId="0" fontId="1" fillId="2" borderId="10" xfId="0" applyFont="1" applyFill="1" applyBorder="1"/>
    <xf numFmtId="49" fontId="0" fillId="2" borderId="0" xfId="0" applyNumberFormat="1" applyFill="1"/>
    <xf numFmtId="164" fontId="0" fillId="11" borderId="0" xfId="0" applyNumberFormat="1" applyFill="1"/>
    <xf numFmtId="0" fontId="1" fillId="2" borderId="25" xfId="0" applyFont="1" applyFill="1" applyBorder="1"/>
    <xf numFmtId="0" fontId="1" fillId="0" borderId="10" xfId="0" applyFont="1" applyBorder="1"/>
    <xf numFmtId="49" fontId="0" fillId="2" borderId="0" xfId="0" applyNumberFormat="1" applyFill="1" applyAlignment="1">
      <alignment horizontal="right"/>
    </xf>
    <xf numFmtId="49" fontId="0" fillId="0" borderId="0" xfId="0" applyNumberFormat="1" applyAlignment="1">
      <alignment horizontal="right"/>
    </xf>
    <xf numFmtId="0" fontId="1" fillId="2" borderId="12" xfId="0" applyFont="1" applyFill="1" applyBorder="1"/>
    <xf numFmtId="49" fontId="0" fillId="2" borderId="13" xfId="0" applyNumberFormat="1" applyFill="1" applyBorder="1" applyAlignment="1">
      <alignment horizontal="right"/>
    </xf>
    <xf numFmtId="164" fontId="0" fillId="11" borderId="13" xfId="0" applyNumberFormat="1" applyFill="1" applyBorder="1"/>
    <xf numFmtId="0" fontId="0" fillId="0" borderId="22" xfId="0" applyBorder="1"/>
    <xf numFmtId="0" fontId="0" fillId="0" borderId="15" xfId="0" applyBorder="1"/>
    <xf numFmtId="9" fontId="0" fillId="12" borderId="15" xfId="0" applyNumberFormat="1" applyFill="1" applyBorder="1"/>
    <xf numFmtId="9" fontId="0" fillId="12" borderId="21" xfId="0" applyNumberFormat="1" applyFill="1" applyBorder="1"/>
    <xf numFmtId="164" fontId="0" fillId="9" borderId="0" xfId="0" applyNumberFormat="1" applyFill="1"/>
    <xf numFmtId="0" fontId="0" fillId="2" borderId="25" xfId="0" applyFill="1" applyBorder="1"/>
    <xf numFmtId="0" fontId="0" fillId="0" borderId="10" xfId="0" applyBorder="1"/>
    <xf numFmtId="0" fontId="0" fillId="4" borderId="0" xfId="0" applyFill="1"/>
    <xf numFmtId="164" fontId="0" fillId="4" borderId="0" xfId="0" applyNumberFormat="1" applyFill="1"/>
    <xf numFmtId="0" fontId="4" fillId="2" borderId="10" xfId="0" applyFont="1" applyFill="1" applyBorder="1"/>
    <xf numFmtId="164" fontId="0" fillId="2" borderId="0" xfId="0" applyNumberFormat="1" applyFill="1"/>
    <xf numFmtId="164" fontId="0" fillId="7" borderId="0" xfId="0" applyNumberFormat="1" applyFill="1"/>
    <xf numFmtId="44" fontId="0" fillId="7" borderId="0" xfId="0" applyNumberFormat="1" applyFill="1"/>
    <xf numFmtId="44" fontId="0" fillId="4" borderId="0" xfId="0" applyNumberFormat="1" applyFill="1"/>
    <xf numFmtId="0" fontId="0" fillId="7" borderId="0" xfId="0" applyFill="1"/>
    <xf numFmtId="49" fontId="0" fillId="6" borderId="0" xfId="0" applyNumberFormat="1" applyFill="1" applyAlignment="1">
      <alignment horizontal="right"/>
    </xf>
    <xf numFmtId="0" fontId="0" fillId="6" borderId="0" xfId="0" applyFill="1"/>
    <xf numFmtId="164" fontId="0" fillId="2" borderId="13" xfId="0" applyNumberFormat="1" applyFill="1" applyBorder="1"/>
    <xf numFmtId="164" fontId="17" fillId="13" borderId="0" xfId="0" applyNumberFormat="1" applyFont="1" applyFill="1"/>
    <xf numFmtId="164" fontId="17" fillId="13" borderId="13" xfId="0" applyNumberFormat="1" applyFont="1" applyFill="1" applyBorder="1"/>
    <xf numFmtId="0" fontId="0" fillId="4" borderId="26" xfId="0" applyFill="1" applyBorder="1" applyAlignment="1" applyProtection="1">
      <alignment horizontal="center"/>
      <protection locked="0"/>
    </xf>
    <xf numFmtId="0" fontId="0" fillId="4" borderId="27" xfId="0" applyFill="1" applyBorder="1" applyAlignment="1" applyProtection="1">
      <alignment horizontal="center"/>
      <protection locked="0"/>
    </xf>
    <xf numFmtId="0" fontId="0" fillId="4" borderId="28" xfId="0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13" fillId="14" borderId="7" xfId="0" applyFont="1" applyFill="1" applyBorder="1"/>
    <xf numFmtId="0" fontId="13" fillId="14" borderId="8" xfId="0" applyFont="1" applyFill="1" applyBorder="1"/>
    <xf numFmtId="0" fontId="14" fillId="14" borderId="10" xfId="0" applyFont="1" applyFill="1" applyBorder="1"/>
    <xf numFmtId="0" fontId="13" fillId="14" borderId="10" xfId="0" applyFont="1" applyFill="1" applyBorder="1"/>
    <xf numFmtId="0" fontId="14" fillId="14" borderId="30" xfId="0" applyFont="1" applyFill="1" applyBorder="1" applyAlignment="1">
      <alignment horizontal="right"/>
    </xf>
    <xf numFmtId="0" fontId="14" fillId="14" borderId="31" xfId="0" applyFont="1" applyFill="1" applyBorder="1" applyAlignment="1">
      <alignment horizontal="right"/>
    </xf>
    <xf numFmtId="0" fontId="14" fillId="14" borderId="32" xfId="0" applyFont="1" applyFill="1" applyBorder="1" applyAlignment="1">
      <alignment horizontal="right"/>
    </xf>
    <xf numFmtId="0" fontId="13" fillId="14" borderId="12" xfId="0" applyFont="1" applyFill="1" applyBorder="1"/>
    <xf numFmtId="0" fontId="14" fillId="14" borderId="13" xfId="0" applyFont="1" applyFill="1" applyBorder="1" applyAlignment="1">
      <alignment horizontal="right"/>
    </xf>
    <xf numFmtId="0" fontId="14" fillId="14" borderId="13" xfId="0" applyFont="1" applyFill="1" applyBorder="1" applyAlignment="1">
      <alignment horizontal="center"/>
    </xf>
    <xf numFmtId="0" fontId="13" fillId="14" borderId="8" xfId="0" applyFont="1" applyFill="1" applyBorder="1" applyAlignment="1">
      <alignment horizontal="center"/>
    </xf>
    <xf numFmtId="0" fontId="13" fillId="14" borderId="0" xfId="0" applyFont="1" applyFill="1"/>
    <xf numFmtId="0" fontId="14" fillId="14" borderId="12" xfId="0" applyFont="1" applyFill="1" applyBorder="1"/>
    <xf numFmtId="0" fontId="14" fillId="14" borderId="13" xfId="0" applyFont="1" applyFill="1" applyBorder="1"/>
    <xf numFmtId="0" fontId="13" fillId="14" borderId="9" xfId="0" applyFont="1" applyFill="1" applyBorder="1"/>
    <xf numFmtId="0" fontId="13" fillId="14" borderId="11" xfId="0" applyFont="1" applyFill="1" applyBorder="1" applyAlignment="1">
      <alignment horizontal="center"/>
    </xf>
    <xf numFmtId="0" fontId="13" fillId="14" borderId="11" xfId="0" applyFont="1" applyFill="1" applyBorder="1"/>
    <xf numFmtId="0" fontId="14" fillId="14" borderId="7" xfId="0" applyFont="1" applyFill="1" applyBorder="1"/>
    <xf numFmtId="0" fontId="14" fillId="14" borderId="9" xfId="0" applyFont="1" applyFill="1" applyBorder="1"/>
    <xf numFmtId="164" fontId="14" fillId="14" borderId="30" xfId="0" applyNumberFormat="1" applyFont="1" applyFill="1" applyBorder="1" applyAlignment="1">
      <alignment horizontal="center"/>
    </xf>
    <xf numFmtId="0" fontId="14" fillId="14" borderId="11" xfId="0" applyFont="1" applyFill="1" applyBorder="1"/>
    <xf numFmtId="0" fontId="14" fillId="14" borderId="32" xfId="0" applyFont="1" applyFill="1" applyBorder="1" applyAlignment="1">
      <alignment horizontal="center"/>
    </xf>
    <xf numFmtId="0" fontId="14" fillId="14" borderId="14" xfId="0" applyFont="1" applyFill="1" applyBorder="1"/>
    <xf numFmtId="0" fontId="14" fillId="14" borderId="31" xfId="0" applyFont="1" applyFill="1" applyBorder="1" applyAlignment="1">
      <alignment horizontal="center"/>
    </xf>
    <xf numFmtId="164" fontId="14" fillId="14" borderId="29" xfId="0" applyNumberFormat="1" applyFont="1" applyFill="1" applyBorder="1" applyAlignment="1">
      <alignment horizontal="center"/>
    </xf>
    <xf numFmtId="9" fontId="14" fillId="14" borderId="0" xfId="3" applyFont="1" applyFill="1" applyBorder="1" applyAlignment="1" applyProtection="1">
      <alignment horizontal="center"/>
    </xf>
    <xf numFmtId="0" fontId="13" fillId="14" borderId="33" xfId="0" applyFont="1" applyFill="1" applyBorder="1"/>
    <xf numFmtId="0" fontId="13" fillId="14" borderId="33" xfId="0" applyFont="1" applyFill="1" applyBorder="1" applyAlignment="1">
      <alignment horizontal="center"/>
    </xf>
    <xf numFmtId="0" fontId="13" fillId="1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8" fillId="5" borderId="0" xfId="0" applyFont="1" applyFill="1"/>
    <xf numFmtId="0" fontId="14" fillId="14" borderId="34" xfId="0" applyFont="1" applyFill="1" applyBorder="1" applyAlignment="1">
      <alignment horizontal="right"/>
    </xf>
    <xf numFmtId="0" fontId="14" fillId="14" borderId="34" xfId="0" applyFont="1" applyFill="1" applyBorder="1" applyAlignment="1">
      <alignment horizontal="center"/>
    </xf>
    <xf numFmtId="164" fontId="14" fillId="14" borderId="35" xfId="0" applyNumberFormat="1" applyFont="1" applyFill="1" applyBorder="1"/>
    <xf numFmtId="164" fontId="14" fillId="14" borderId="36" xfId="0" applyNumberFormat="1" applyFont="1" applyFill="1" applyBorder="1"/>
    <xf numFmtId="164" fontId="14" fillId="14" borderId="37" xfId="0" applyNumberFormat="1" applyFont="1" applyFill="1" applyBorder="1"/>
    <xf numFmtId="164" fontId="14" fillId="14" borderId="14" xfId="0" applyNumberFormat="1" applyFont="1" applyFill="1" applyBorder="1"/>
    <xf numFmtId="0" fontId="13" fillId="14" borderId="38" xfId="0" applyFont="1" applyFill="1" applyBorder="1"/>
    <xf numFmtId="164" fontId="14" fillId="14" borderId="39" xfId="0" applyNumberFormat="1" applyFont="1" applyFill="1" applyBorder="1"/>
    <xf numFmtId="0" fontId="13" fillId="14" borderId="40" xfId="0" applyFont="1" applyFill="1" applyBorder="1"/>
    <xf numFmtId="0" fontId="13" fillId="14" borderId="41" xfId="0" applyFont="1" applyFill="1" applyBorder="1"/>
    <xf numFmtId="0" fontId="9" fillId="5" borderId="10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16" fillId="14" borderId="19" xfId="0" applyFont="1" applyFill="1" applyBorder="1" applyAlignment="1">
      <alignment horizontal="center"/>
    </xf>
    <xf numFmtId="0" fontId="16" fillId="14" borderId="20" xfId="0" applyFont="1" applyFill="1" applyBorder="1" applyAlignment="1">
      <alignment horizontal="center"/>
    </xf>
    <xf numFmtId="0" fontId="16" fillId="14" borderId="17" xfId="0" applyFont="1" applyFill="1" applyBorder="1" applyAlignment="1">
      <alignment horizontal="center"/>
    </xf>
    <xf numFmtId="0" fontId="10" fillId="5" borderId="11" xfId="0" applyFont="1" applyFill="1" applyBorder="1" applyAlignment="1">
      <alignment horizontal="center" textRotation="90"/>
    </xf>
    <xf numFmtId="0" fontId="10" fillId="5" borderId="0" xfId="0" applyFont="1" applyFill="1" applyAlignment="1">
      <alignment horizontal="center" textRotation="90"/>
    </xf>
    <xf numFmtId="0" fontId="12" fillId="0" borderId="0" xfId="0" applyFont="1" applyAlignment="1">
      <alignment horizontal="center"/>
    </xf>
    <xf numFmtId="0" fontId="11" fillId="6" borderId="0" xfId="0" applyFont="1" applyFill="1" applyAlignment="1">
      <alignment horizontal="center"/>
    </xf>
  </cellXfs>
  <cellStyles count="4">
    <cellStyle name="Hyperlink 2" xfId="1" xr:uid="{5C4A4B7F-62F0-4914-823F-19A0A05CCF90}"/>
    <cellStyle name="Normal" xfId="0" builtinId="0"/>
    <cellStyle name="Normal 2" xfId="2" xr:uid="{538AB9B7-8185-4749-A6D3-A02EBC3C0873}"/>
    <cellStyle name="Percent" xfId="3" builtinId="5"/>
  </cellStyles>
  <dxfs count="0"/>
  <tableStyles count="0" defaultTableStyle="TableStyleMedium2" defaultPivotStyle="PivotStyleLight16"/>
  <colors>
    <mruColors>
      <color rgb="FFFFFFCC"/>
      <color rgb="FFCC99FF"/>
      <color rgb="FFFF66FF"/>
      <color rgb="FF66FFFF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755651</xdr:colOff>
      <xdr:row>3</xdr:row>
      <xdr:rowOff>15571</xdr:rowOff>
    </xdr:from>
    <xdr:to>
      <xdr:col>7</xdr:col>
      <xdr:colOff>1803759</xdr:colOff>
      <xdr:row>4</xdr:row>
      <xdr:rowOff>151037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4A857C9-0E3A-4D75-A456-292F2BAE602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4251" y="783921"/>
          <a:ext cx="1924408" cy="31961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236542</xdr:colOff>
      <xdr:row>5</xdr:row>
      <xdr:rowOff>1990</xdr:rowOff>
    </xdr:from>
    <xdr:to>
      <xdr:col>7</xdr:col>
      <xdr:colOff>1409558</xdr:colOff>
      <xdr:row>5</xdr:row>
      <xdr:rowOff>149444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A55D62-43DE-97F1-DE03-C83E20F53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437" y="1146661"/>
          <a:ext cx="1173016" cy="14745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dvangelov_mesfire_com/Documents/Desktop/PC_2020_SBASConfig_12022019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BAS Main Page"/>
      <sheetName val="Charge Stations"/>
      <sheetName val="Stationary Compressors"/>
      <sheetName val="Mobile Compressors"/>
      <sheetName val="Storage"/>
      <sheetName val="Quote Summary Page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8">
          <cell r="C28" t="str">
            <v>CGA Adapter</v>
          </cell>
        </row>
        <row r="29">
          <cell r="C29" t="str">
            <v>DIN Adapter</v>
          </cell>
        </row>
        <row r="30">
          <cell r="C30" t="str">
            <v>SCUBA adapter RevolveAir &amp; CGA</v>
          </cell>
        </row>
        <row r="31">
          <cell r="C31" t="str">
            <v>SCUBA adapter RevolveAir &amp; DIN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735C7-79EC-4826-9A1E-E2BFE15D4D4B}">
  <sheetPr codeName="Sheet1">
    <pageSetUpPr fitToPage="1"/>
  </sheetPr>
  <dimension ref="A1:I35"/>
  <sheetViews>
    <sheetView tabSelected="1" zoomScale="70" zoomScaleNormal="70" workbookViewId="0">
      <selection activeCell="D6" sqref="D6"/>
    </sheetView>
  </sheetViews>
  <sheetFormatPr defaultColWidth="8.81640625" defaultRowHeight="14.5" x14ac:dyDescent="0.35"/>
  <cols>
    <col min="1" max="1" width="1.54296875" style="4" customWidth="1"/>
    <col min="2" max="2" width="29.81640625" style="4" customWidth="1"/>
    <col min="3" max="3" width="8.81640625" style="4"/>
    <col min="4" max="4" width="58.54296875" style="4" bestFit="1" customWidth="1"/>
    <col min="5" max="5" width="10.54296875" style="4" bestFit="1" customWidth="1"/>
    <col min="6" max="6" width="3.453125" style="4" customWidth="1"/>
    <col min="7" max="7" width="12.54296875" style="4" customWidth="1"/>
    <col min="8" max="8" width="30.81640625" style="4" customWidth="1"/>
    <col min="9" max="9" width="5.453125" style="4" customWidth="1"/>
    <col min="10" max="16384" width="8.81640625" style="4"/>
  </cols>
  <sheetData>
    <row r="1" spans="1:9" ht="14.5" customHeight="1" thickBot="1" x14ac:dyDescent="0.4"/>
    <row r="2" spans="1:9" ht="31.5" customHeight="1" thickBot="1" x14ac:dyDescent="0.7">
      <c r="A2" s="132"/>
      <c r="B2" s="129" t="s">
        <v>238</v>
      </c>
      <c r="C2" s="130"/>
      <c r="D2" s="130"/>
      <c r="E2" s="130"/>
      <c r="F2" s="130"/>
      <c r="G2" s="130"/>
      <c r="H2" s="130"/>
      <c r="I2" s="131"/>
    </row>
    <row r="3" spans="1:9" ht="14.5" customHeight="1" thickBot="1" x14ac:dyDescent="0.4">
      <c r="A3" s="132"/>
      <c r="B3" s="126"/>
      <c r="C3" s="127"/>
      <c r="D3" s="127"/>
      <c r="E3" s="127"/>
      <c r="F3" s="127"/>
      <c r="G3" s="127"/>
      <c r="H3" s="127"/>
      <c r="I3" s="128"/>
    </row>
    <row r="4" spans="1:9" x14ac:dyDescent="0.35">
      <c r="A4" s="133"/>
      <c r="B4" s="85" t="s">
        <v>49</v>
      </c>
      <c r="C4" s="86"/>
      <c r="D4" s="95" t="s">
        <v>48</v>
      </c>
      <c r="E4" s="99"/>
      <c r="G4" s="7"/>
      <c r="H4" s="8"/>
      <c r="I4" s="9"/>
    </row>
    <row r="5" spans="1:9" ht="15" thickBot="1" x14ac:dyDescent="0.4">
      <c r="A5" s="133"/>
      <c r="B5" s="87"/>
      <c r="C5" s="113" t="s">
        <v>22</v>
      </c>
      <c r="D5" s="113" t="s">
        <v>23</v>
      </c>
      <c r="E5" s="100" t="s">
        <v>88</v>
      </c>
      <c r="G5" s="5"/>
      <c r="I5" s="6"/>
    </row>
    <row r="6" spans="1:9" ht="15" thickBot="1" x14ac:dyDescent="0.4">
      <c r="A6" s="133"/>
      <c r="B6" s="88" t="s">
        <v>1</v>
      </c>
      <c r="C6" s="89" t="str">
        <f>IFERROR(INDEX('Fill Station'!$B$2:$B$5,MATCH($D6,'Fill Station'!$C$2:$C$5,0)),"")</f>
        <v/>
      </c>
      <c r="D6" s="81"/>
      <c r="E6" s="118" t="str">
        <f>IFERROR(INDEX('Fill Station'!$D$2:$D$5,MATCH($D6,'Fill Station'!$C$2:$C$5,0)),"")</f>
        <v/>
      </c>
      <c r="G6" s="5"/>
      <c r="I6" s="6"/>
    </row>
    <row r="7" spans="1:9" ht="15" thickBot="1" x14ac:dyDescent="0.4">
      <c r="A7" s="133"/>
      <c r="B7" s="88" t="s">
        <v>2</v>
      </c>
      <c r="C7" s="90" t="str">
        <f>IFERROR(INDEX('Fill Station'!$B$7:$B$10,MATCH($D7,'Fill Station'!$C$7:$C$10,0)),"")</f>
        <v/>
      </c>
      <c r="D7" s="82"/>
      <c r="E7" s="119" t="str">
        <f>IFERROR(INDEX('Fill Station'!$D$7:$D$10,MATCH($D7,'Fill Station'!$C$7:$C$10,0)),"")</f>
        <v/>
      </c>
      <c r="G7" s="102"/>
      <c r="H7" s="95" t="s">
        <v>48</v>
      </c>
      <c r="I7" s="103"/>
    </row>
    <row r="8" spans="1:9" x14ac:dyDescent="0.35">
      <c r="A8" s="133"/>
      <c r="B8" s="88" t="s">
        <v>6</v>
      </c>
      <c r="C8" s="90" t="str">
        <f>IFERROR(INDEX('Fill Station'!$B$12:$B$13,MATCH($D8,'Fill Station'!$C$12:$C$13,0)),"")</f>
        <v/>
      </c>
      <c r="D8" s="82"/>
      <c r="E8" s="119" t="str">
        <f>IFERROR(INDEX('Fill Station'!$D$12:$D$13,MATCH($D8,'Fill Station'!$C$12:$C$13,0)),"")</f>
        <v/>
      </c>
      <c r="G8" s="88" t="s">
        <v>88</v>
      </c>
      <c r="H8" s="104">
        <f>ROUND(SUM($E$6:$E$11),2)</f>
        <v>0</v>
      </c>
      <c r="I8" s="105"/>
    </row>
    <row r="9" spans="1:9" ht="15" thickBot="1" x14ac:dyDescent="0.4">
      <c r="A9" s="133"/>
      <c r="B9" s="88" t="s">
        <v>7</v>
      </c>
      <c r="C9" s="90" t="str">
        <f>IFERROR(INDEX('Fill Station'!$B$15:$B$16,MATCH($D9,'Fill Station'!$C$15:$C$16,0)),"")</f>
        <v/>
      </c>
      <c r="D9" s="82"/>
      <c r="E9" s="119" t="str">
        <f>IFERROR(INDEX('Fill Station'!$D$15:$D$16,MATCH($D9,'Fill Station'!$C$15:$C$16,0)),"")</f>
        <v/>
      </c>
      <c r="G9" s="88" t="s">
        <v>47</v>
      </c>
      <c r="H9" s="106" t="str">
        <f>_xlfn.CONCAT("RSF-",$C$6,$C$7,$C$8,$C$9,$C$10,$C$11)</f>
        <v>RSF-</v>
      </c>
      <c r="I9" s="105"/>
    </row>
    <row r="10" spans="1:9" ht="15" thickBot="1" x14ac:dyDescent="0.4">
      <c r="A10" s="133"/>
      <c r="B10" s="88" t="s">
        <v>8</v>
      </c>
      <c r="C10" s="90" t="str">
        <f>IFERROR(INDEX('Fill Station'!$B$18:$B$25,MATCH($D10,'Fill Station'!$C$18:$C$25,0)),"")</f>
        <v/>
      </c>
      <c r="D10" s="82"/>
      <c r="E10" s="119" t="str">
        <f>IFERROR(INDEX('Fill Station'!$D$18:$D$25,MATCH($D10,'Fill Station'!$C$18:$C$25,0)),"")</f>
        <v/>
      </c>
      <c r="G10" s="97"/>
      <c r="H10" s="98"/>
      <c r="I10" s="107"/>
    </row>
    <row r="11" spans="1:9" ht="15" thickBot="1" x14ac:dyDescent="0.4">
      <c r="A11" s="133"/>
      <c r="B11" s="88" t="s">
        <v>25</v>
      </c>
      <c r="C11" s="91" t="str">
        <f>IFERROR(INDEX('Fill Station'!$B$27:$B$31,MATCH($D11,'Fill Station'!$C$27:$C$31,0)),"")</f>
        <v/>
      </c>
      <c r="D11" s="83"/>
      <c r="E11" s="120" t="str">
        <f>IFERROR(INDEX('Fill Station'!$D$27:$D$31,MATCH($D11,'Fill Station'!$C$27:$C$31,0)),"")</f>
        <v/>
      </c>
      <c r="G11" s="5"/>
      <c r="I11" s="6"/>
    </row>
    <row r="12" spans="1:9" ht="15" thickBot="1" x14ac:dyDescent="0.4">
      <c r="A12" s="133"/>
      <c r="B12" s="92"/>
      <c r="C12" s="93"/>
      <c r="D12" s="94"/>
      <c r="E12" s="121"/>
      <c r="G12" s="102"/>
      <c r="H12" s="95" t="s">
        <v>51</v>
      </c>
      <c r="I12" s="103"/>
    </row>
    <row r="13" spans="1:9" ht="15" thickBot="1" x14ac:dyDescent="0.4">
      <c r="A13" s="133"/>
      <c r="B13" s="11"/>
      <c r="C13" s="115"/>
      <c r="E13" s="6"/>
      <c r="G13" s="88" t="s">
        <v>88</v>
      </c>
      <c r="H13" s="104">
        <f>ROUND(SUM($E$16:$E$20),2)</f>
        <v>0</v>
      </c>
      <c r="I13" s="105"/>
    </row>
    <row r="14" spans="1:9" ht="15" thickBot="1" x14ac:dyDescent="0.4">
      <c r="A14" s="133"/>
      <c r="B14" s="85" t="s">
        <v>50</v>
      </c>
      <c r="C14" s="86"/>
      <c r="D14" s="95" t="s">
        <v>51</v>
      </c>
      <c r="E14" s="99"/>
      <c r="G14" s="88" t="s">
        <v>47</v>
      </c>
      <c r="H14" s="106" t="str">
        <f>_xlfn.CONCAT("RSC-",$C$16,$C$17,$C$18,$C$19,$C$20)</f>
        <v>RSC-1</v>
      </c>
      <c r="I14" s="105"/>
    </row>
    <row r="15" spans="1:9" ht="15" thickBot="1" x14ac:dyDescent="0.4">
      <c r="A15" s="133"/>
      <c r="B15" s="87"/>
      <c r="C15" s="113" t="s">
        <v>22</v>
      </c>
      <c r="D15" s="113" t="s">
        <v>23</v>
      </c>
      <c r="E15" s="100" t="s">
        <v>88</v>
      </c>
      <c r="G15" s="97"/>
      <c r="H15" s="98"/>
      <c r="I15" s="107"/>
    </row>
    <row r="16" spans="1:9" ht="15" thickBot="1" x14ac:dyDescent="0.4">
      <c r="A16" s="133"/>
      <c r="B16" s="88" t="s">
        <v>1</v>
      </c>
      <c r="C16" s="89" t="str">
        <f>IFERROR(INDEX(Compressor!$B$2:$B$8,MATCH($D16,Compressor!$C$2:$C$8,0)),"")</f>
        <v/>
      </c>
      <c r="D16" s="81"/>
      <c r="E16" s="118" t="str">
        <f>IFERROR(INDEX(Compressor!$D$2:$D$8,MATCH($D16,Compressor!$C$2:$C$8,0)),"")</f>
        <v/>
      </c>
      <c r="G16" s="5"/>
      <c r="I16" s="6"/>
    </row>
    <row r="17" spans="1:9" ht="15" thickBot="1" x14ac:dyDescent="0.4">
      <c r="A17" s="133"/>
      <c r="B17" s="88" t="s">
        <v>46</v>
      </c>
      <c r="C17" s="90" t="str">
        <f>IFERROR(INDEX(Compressor!$B$10:$B$25,MATCH($D17,Compressor!$C$10:$C$25,0)),"")</f>
        <v/>
      </c>
      <c r="D17" s="82"/>
      <c r="E17" s="119" t="str">
        <f>IFERROR(INDEX(Compressor!$D$10:$D$25,MATCH($D17,Compressor!$C$10:$C$25,0)),"")</f>
        <v/>
      </c>
      <c r="G17" s="102"/>
      <c r="H17" s="95" t="s">
        <v>134</v>
      </c>
      <c r="I17" s="103"/>
    </row>
    <row r="18" spans="1:9" x14ac:dyDescent="0.35">
      <c r="A18" s="133"/>
      <c r="B18" s="88" t="s">
        <v>34</v>
      </c>
      <c r="C18" s="90" t="str">
        <f>IFERROR(INDEX(Compressor!$B$27:$B$32,MATCH($D18,Compressor!$C$27:$C$32,0)),"")</f>
        <v/>
      </c>
      <c r="D18" s="82"/>
      <c r="E18" s="119" t="str">
        <f>IFERROR(INDEX(Compressor!$D$27:$D$32,MATCH($D18,Compressor!$C$27:$C$32,0)),"")</f>
        <v/>
      </c>
      <c r="G18" s="88" t="s">
        <v>88</v>
      </c>
      <c r="H18" s="104">
        <f>ROUND(SUM(E26),2)</f>
        <v>0</v>
      </c>
      <c r="I18" s="105"/>
    </row>
    <row r="19" spans="1:9" x14ac:dyDescent="0.35">
      <c r="A19" s="133"/>
      <c r="B19" s="88" t="s">
        <v>43</v>
      </c>
      <c r="C19" s="90" t="str">
        <f>IFERROR(INDEX(Compressor!$B$34:$B$35,MATCH($D19,Compressor!$C$34:$C$35,0)),"")</f>
        <v>1</v>
      </c>
      <c r="D19" s="84" t="s">
        <v>44</v>
      </c>
      <c r="E19" s="119">
        <f>IFERROR(INDEX(Compressor!$D$34:$D$35,MATCH($D19,Compressor!$C$34:$C$35,0)),"")</f>
        <v>0</v>
      </c>
      <c r="G19" s="88" t="s">
        <v>54</v>
      </c>
      <c r="H19" s="108" t="str">
        <f>IFERROR(INDEX(Storage!$B$13:$B$20,MATCH($D26,Storage!$C$13:$C$20,0)),"")</f>
        <v/>
      </c>
      <c r="I19" s="105"/>
    </row>
    <row r="20" spans="1:9" ht="15" thickBot="1" x14ac:dyDescent="0.4">
      <c r="A20" s="133"/>
      <c r="B20" s="88" t="s">
        <v>25</v>
      </c>
      <c r="C20" s="91" t="str">
        <f>IFERROR(INDEX(Compressor!$B$37:$B$38,MATCH($D20,Compressor!$C$37:$C$38,0)),"")</f>
        <v/>
      </c>
      <c r="D20" s="83"/>
      <c r="E20" s="120" t="str">
        <f>IFERROR(INDEX(Compressor!$D$37:$D$38,MATCH($D20,Compressor!$C$37:$C$38,0)),"")</f>
        <v/>
      </c>
      <c r="G20" s="88" t="s">
        <v>47</v>
      </c>
      <c r="H20" s="106" t="str">
        <f>IFERROR(IF($D$25="ASME 7000 PSI",INDEX(Storage!$H$2,),IF($D$25="UN 6000 PSI",INDEX(Storage!$H$3,),"")),"")</f>
        <v/>
      </c>
      <c r="I20" s="105"/>
    </row>
    <row r="21" spans="1:9" ht="15" thickBot="1" x14ac:dyDescent="0.4">
      <c r="A21" s="133"/>
      <c r="B21" s="122"/>
      <c r="C21" s="116"/>
      <c r="D21" s="117"/>
      <c r="E21" s="123"/>
      <c r="G21" s="87"/>
      <c r="H21" s="96" t="s">
        <v>135</v>
      </c>
      <c r="I21" s="105"/>
    </row>
    <row r="22" spans="1:9" ht="15" thickBot="1" x14ac:dyDescent="0.4">
      <c r="A22" s="133"/>
      <c r="B22" s="11"/>
      <c r="C22" s="115"/>
      <c r="E22" s="6"/>
      <c r="G22" s="88" t="s">
        <v>88</v>
      </c>
      <c r="H22" s="104">
        <f>ROUND(SUM($E$29:$E$33),2)</f>
        <v>0</v>
      </c>
      <c r="I22" s="105"/>
    </row>
    <row r="23" spans="1:9" ht="15" thickBot="1" x14ac:dyDescent="0.4">
      <c r="A23" s="133"/>
      <c r="B23" s="124" t="s">
        <v>50</v>
      </c>
      <c r="C23" s="111"/>
      <c r="D23" s="112" t="s">
        <v>134</v>
      </c>
      <c r="E23" s="125"/>
      <c r="G23" s="88" t="s">
        <v>47</v>
      </c>
      <c r="H23" s="106" t="str">
        <f>_xlfn.CONCAT("RSS-",$C$29,$C$30,$C$31,$C$32,$C$33,$C$34)</f>
        <v>RSS-0</v>
      </c>
      <c r="I23" s="105"/>
    </row>
    <row r="24" spans="1:9" ht="15" thickBot="1" x14ac:dyDescent="0.4">
      <c r="A24" s="133"/>
      <c r="B24" s="87"/>
      <c r="C24" s="113" t="s">
        <v>22</v>
      </c>
      <c r="D24" s="113" t="s">
        <v>23</v>
      </c>
      <c r="E24" s="100" t="s">
        <v>88</v>
      </c>
      <c r="G24" s="92"/>
      <c r="H24" s="94"/>
      <c r="I24" s="107"/>
    </row>
    <row r="25" spans="1:9" ht="15" thickBot="1" x14ac:dyDescent="0.4">
      <c r="A25" s="133"/>
      <c r="B25" s="88" t="s">
        <v>237</v>
      </c>
      <c r="C25" s="89" t="str">
        <f>IFERROR(INDEX(Storage!$B$2:$B$3,MATCH($D25,Storage!$C$2:$C$3,0)),"")</f>
        <v/>
      </c>
      <c r="D25" s="81"/>
      <c r="E25" s="118" t="str">
        <f>IF($D$25="","",0)</f>
        <v/>
      </c>
      <c r="G25" s="5"/>
      <c r="I25" s="6"/>
    </row>
    <row r="26" spans="1:9" ht="15" thickBot="1" x14ac:dyDescent="0.4">
      <c r="A26" s="133"/>
      <c r="B26" s="88" t="s">
        <v>54</v>
      </c>
      <c r="C26" s="91"/>
      <c r="D26" s="83"/>
      <c r="E26" s="120" t="str">
        <f>IFERROR(IF($D$25="ASME 7000 PSI",INDEX(Storage!$G$13:$G$20,MATCH($D26,Storage!$C$13:$C$20,0)),IF($D$25="UN 6000 PSI",INDEX(Storage!$F$13:$F$20,MATCH($D26,Storage!$C$13:$C$20,0)),"")),"")</f>
        <v/>
      </c>
      <c r="G26" s="102"/>
      <c r="H26" s="95" t="s">
        <v>110</v>
      </c>
      <c r="I26" s="103"/>
    </row>
    <row r="27" spans="1:9" ht="15" thickBot="1" x14ac:dyDescent="0.4">
      <c r="A27" s="133"/>
      <c r="B27" s="85" t="s">
        <v>50</v>
      </c>
      <c r="C27" s="96"/>
      <c r="D27" s="95" t="s">
        <v>135</v>
      </c>
      <c r="E27" s="101"/>
      <c r="G27" s="88" t="s">
        <v>109</v>
      </c>
      <c r="H27" s="109">
        <f>ROUND(SUM($H$8+$H$13+$H$18+$H$22),2)</f>
        <v>0</v>
      </c>
      <c r="I27" s="105"/>
    </row>
    <row r="28" spans="1:9" ht="15" thickBot="1" x14ac:dyDescent="0.4">
      <c r="A28" s="133"/>
      <c r="B28" s="87"/>
      <c r="C28" s="113" t="s">
        <v>22</v>
      </c>
      <c r="D28" s="113" t="s">
        <v>23</v>
      </c>
      <c r="E28" s="100" t="s">
        <v>88</v>
      </c>
      <c r="G28" s="88"/>
      <c r="H28" s="110"/>
      <c r="I28" s="105"/>
    </row>
    <row r="29" spans="1:9" ht="15" thickBot="1" x14ac:dyDescent="0.4">
      <c r="A29" s="133"/>
      <c r="B29" s="88" t="s">
        <v>53</v>
      </c>
      <c r="C29" s="89" t="str">
        <f>IFERROR(INDEX(Storage!$B$5:$B$12,MATCH($D29,Storage!$C$5:$C$12,0)),"")</f>
        <v/>
      </c>
      <c r="D29" s="81"/>
      <c r="E29" s="118" t="str">
        <f>IFERROR(IF($D$25="ASME 7000 PSI",INDEX(Storage!$G$5:$G$12,MATCH($D29,Storage!$C$5:$C$12,0)),IF($D$25="UN 6000 PSI",INDEX(Storage!$F$5:$F$12,MATCH($D29,Storage!$C$5:$C$12,0)),"")),"")</f>
        <v/>
      </c>
      <c r="G29" s="97"/>
      <c r="H29" s="98"/>
      <c r="I29" s="107"/>
    </row>
    <row r="30" spans="1:9" x14ac:dyDescent="0.35">
      <c r="A30" s="133"/>
      <c r="B30" s="88" t="s">
        <v>55</v>
      </c>
      <c r="C30" s="90" t="str">
        <f>IFERROR(INDEX(Storage!$B$21:$B$34,MATCH($D30,Storage!$C$21:$C$34,0)),"")</f>
        <v/>
      </c>
      <c r="D30" s="82"/>
      <c r="E30" s="119" t="str">
        <f>IFERROR(INDEX(Storage!$E$21:$E$34,MATCH($D30,Storage!$C$21:$C$34,0)),"")</f>
        <v/>
      </c>
    </row>
    <row r="31" spans="1:9" x14ac:dyDescent="0.35">
      <c r="A31" s="133"/>
      <c r="B31" s="88" t="s">
        <v>153</v>
      </c>
      <c r="C31" s="90" t="str">
        <f>IFERROR(INDEX(Storage!$B$49:$B$58,MATCH($D31,Storage!$C$49:$C$58,0)),"")</f>
        <v/>
      </c>
      <c r="D31" s="82"/>
      <c r="E31" s="119" t="str">
        <f>IFERROR(INDEX(Storage!$E$49:$E$58,MATCH($D31,Storage!$C$49:$C$58,0)),"")</f>
        <v/>
      </c>
    </row>
    <row r="32" spans="1:9" x14ac:dyDescent="0.35">
      <c r="A32" s="133"/>
      <c r="B32" s="88" t="s">
        <v>161</v>
      </c>
      <c r="C32" s="90" t="str">
        <f>IFERROR(INDEX(Storage!$B$35:$B$47,MATCH($D32,Storage!$C$35:$C$47,0)),"")</f>
        <v/>
      </c>
      <c r="D32" s="82"/>
      <c r="E32" s="119" t="str">
        <f>IFERROR(IF($C$31="0",(INDEX(Storage!$E$35:$E$47,MATCH($D32,Storage!$C$35:$C$47,0))*0),IF($C$31="1",(INDEX(Storage!$E$35:$E$47,MATCH($D32,Storage!$C$35:$C$47,0))*1),IF($C$31="2",(INDEX(Storage!$E$35:$E$47,MATCH($D32,Storage!$C$35:$C$47,0))*2),IF($C$31="3",(INDEX(Storage!$E$35:$E$47,MATCH($D32,Storage!$C$35:$C$47,0))*3),IF($C$31="4",(INDEX(Storage!$E$35:$E$47,MATCH($D32,Storage!$C$35:$C$47,0))*4),IF($C$31="5",(INDEX(Storage!$E$35:$E$47,MATCH($D32,Storage!$C$35:$C$47,0))*5),IF($C$31="6",(INDEX(Storage!$E$35:$E$47,MATCH($D32,Storage!$C$35:$C$47,0))*6),""))))))),"")</f>
        <v/>
      </c>
    </row>
    <row r="33" spans="1:5" x14ac:dyDescent="0.35">
      <c r="A33" s="133"/>
      <c r="B33" s="88" t="s">
        <v>25</v>
      </c>
      <c r="C33" s="90" t="str">
        <f>IFERROR(INDEX(Storage!$B$60:$B$61,MATCH($D33,Storage!$C$60:$C$61,0)),"")</f>
        <v>0</v>
      </c>
      <c r="D33" s="114" t="s">
        <v>3</v>
      </c>
      <c r="E33" s="119">
        <f>IFERROR(INDEX(Storage!$E$60:$E$61,MATCH($D33,Storage!$C$60:$C$61,0)),"")</f>
        <v>0</v>
      </c>
    </row>
    <row r="34" spans="1:5" ht="15" thickBot="1" x14ac:dyDescent="0.4">
      <c r="A34" s="133"/>
      <c r="B34" s="88" t="s">
        <v>52</v>
      </c>
      <c r="C34" s="91" t="str">
        <f>IF($D$29="None","",$C$25)</f>
        <v/>
      </c>
      <c r="D34" s="82"/>
      <c r="E34" s="120">
        <f>0</f>
        <v>0</v>
      </c>
    </row>
    <row r="35" spans="1:5" ht="15" thickBot="1" x14ac:dyDescent="0.4">
      <c r="B35" s="97"/>
      <c r="C35" s="98"/>
      <c r="D35" s="98"/>
      <c r="E35" s="107"/>
    </row>
  </sheetData>
  <sheetProtection algorithmName="SHA-512" hashValue="R44YHKoE9uJSl1tM8+39CDxuLt461w7IDbAZmhgiWwoq8HE+EDtpd0Yav9aflIba+tUpuEQvnrTi57hat4fHAw==" saltValue="4qvCJSLRrUHvD595a95qRg==" spinCount="100000" sheet="1" selectLockedCells="1"/>
  <dataConsolidate/>
  <mergeCells count="3">
    <mergeCell ref="B3:I3"/>
    <mergeCell ref="B2:I2"/>
    <mergeCell ref="A2:A34"/>
  </mergeCells>
  <phoneticPr fontId="2" type="noConversion"/>
  <dataValidations count="1">
    <dataValidation type="list" allowBlank="1" showInputMessage="1" showErrorMessage="1" sqref="D7" xr:uid="{C8178167-FC6A-4A4A-AC2B-131E9C4C4B8C}">
      <formula1>FillPanel</formula1>
    </dataValidation>
  </dataValidations>
  <pageMargins left="0.7" right="0.7" top="0.75" bottom="0.75" header="0.3" footer="0.3"/>
  <pageSetup scale="7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D99759E4-029A-46EA-A374-71769B3859BB}">
          <x14:formula1>
            <xm:f>OFFSET(Ref!$A$46,1,MATCH($D$16,Ref!$A$46:$G$46,0)-1,COUNTA(OFFSET(Ref!$A$46,1,MATCH($D$16,Ref!$A$46:$G$46,0)-1,10,1)),1)</xm:f>
          </x14:formula1>
          <xm:sqref>D17</xm:sqref>
        </x14:dataValidation>
        <x14:dataValidation type="list" allowBlank="1" showInputMessage="1" showErrorMessage="1" xr:uid="{ADE3F21A-1BB9-406C-86EC-5007EE8F1FBB}">
          <x14:formula1>
            <xm:f>Ref!$A$30:$D$30</xm:f>
          </x14:formula1>
          <xm:sqref>D6</xm:sqref>
        </x14:dataValidation>
        <x14:dataValidation type="list" allowBlank="1" showInputMessage="1" showErrorMessage="1" xr:uid="{1777CE9C-65F4-4167-9591-13CD298097D2}">
          <x14:formula1>
            <xm:f>Ref!$A$12:$A$18</xm:f>
          </x14:formula1>
          <xm:sqref>D16</xm:sqref>
        </x14:dataValidation>
        <x14:dataValidation type="list" allowBlank="1" showInputMessage="1" showErrorMessage="1" xr:uid="{1B7532B4-9422-4C63-9B04-1E625898E595}">
          <x14:formula1>
            <xm:f>Ref!$U$42:$U$49</xm:f>
          </x14:formula1>
          <xm:sqref>D29</xm:sqref>
        </x14:dataValidation>
        <x14:dataValidation type="list" allowBlank="1" showInputMessage="1" showErrorMessage="1" xr:uid="{90D0AA05-E0C3-4CCC-942B-7EF5852FA67D}">
          <x14:formula1>
            <xm:f>Ref!$U$12:$U$17</xm:f>
          </x14:formula1>
          <xm:sqref>D10</xm:sqref>
        </x14:dataValidation>
        <x14:dataValidation type="list" allowBlank="1" showInputMessage="1" showErrorMessage="1" xr:uid="{E36AF591-65F6-4526-9C36-41A0F16253A2}">
          <x14:formula1>
            <xm:f>'Fill Station'!$C$12:$C$13</xm:f>
          </x14:formula1>
          <xm:sqref>D8</xm:sqref>
        </x14:dataValidation>
        <x14:dataValidation type="list" allowBlank="1" showInputMessage="1" showErrorMessage="1" xr:uid="{211D01A4-68C2-4114-9EB1-A19A147D7E3A}">
          <x14:formula1>
            <xm:f>'Fill Station'!$C$15:$C$16</xm:f>
          </x14:formula1>
          <xm:sqref>D9</xm:sqref>
        </x14:dataValidation>
        <x14:dataValidation type="list" allowBlank="1" showInputMessage="1" showErrorMessage="1" xr:uid="{A1AB1812-C5A0-40AF-BC33-017A7D486D16}">
          <x14:formula1>
            <xm:f>Storage!$C$2:$C$3</xm:f>
          </x14:formula1>
          <xm:sqref>D25</xm:sqref>
        </x14:dataValidation>
        <x14:dataValidation type="list" allowBlank="1" showInputMessage="1" showErrorMessage="1" xr:uid="{5CD684D7-058A-4AFB-B0CA-BDA7100F4C81}">
          <x14:formula1>
            <xm:f>Storage!$C$60:$C$60</xm:f>
          </x14:formula1>
          <xm:sqref>D34 D33</xm:sqref>
        </x14:dataValidation>
        <x14:dataValidation type="list" allowBlank="1" showInputMessage="1" showErrorMessage="1" xr:uid="{4962DA97-6A8B-461D-AE96-37B80BF987B4}">
          <x14:formula1>
            <xm:f>Compressor!$C$27:$C$32</xm:f>
          </x14:formula1>
          <xm:sqref>D18</xm:sqref>
        </x14:dataValidation>
        <x14:dataValidation type="list" allowBlank="1" showInputMessage="1" showErrorMessage="1" xr:uid="{E1A2250A-A28A-48A7-9C0A-111350039E2C}">
          <x14:formula1>
            <xm:f>Compressor!$C$34:$C$35</xm:f>
          </x14:formula1>
          <xm:sqref>D19</xm:sqref>
        </x14:dataValidation>
        <x14:dataValidation type="list" allowBlank="1" showInputMessage="1" showErrorMessage="1" xr:uid="{0CCFAFF2-9A3B-47AA-A5F2-D9D2A0349DAC}">
          <x14:formula1>
            <xm:f>Compressor!$C$37:$C$38</xm:f>
          </x14:formula1>
          <xm:sqref>D20</xm:sqref>
        </x14:dataValidation>
        <x14:dataValidation type="list" allowBlank="1" showInputMessage="1" showErrorMessage="1" xr:uid="{7418CA9C-AC99-4E92-9077-A31F96ACC640}">
          <x14:formula1>
            <xm:f>Storage!$C$14:$C$20</xm:f>
          </x14:formula1>
          <xm:sqref>D26</xm:sqref>
        </x14:dataValidation>
        <x14:dataValidation type="list" allowBlank="1" showInputMessage="1" showErrorMessage="1" xr:uid="{DEAF3688-C35B-4E3F-AA17-E05A94D1498E}">
          <x14:formula1>
            <xm:f>'Fill Station'!$C$28:$C$31</xm:f>
          </x14:formula1>
          <xm:sqref>D11</xm:sqref>
        </x14:dataValidation>
        <x14:dataValidation type="list" allowBlank="1" showInputMessage="1" showErrorMessage="1" prompt="Please select fill panel in Fill Station category prior to selecting plumbing" xr:uid="{E9C2D661-A81B-4ADD-B919-CBE662971CCD}">
          <x14:formula1>
            <xm:f>OFFSET(Ref!$G$3,1,MATCH($D$7,Ref!$G$3:$J$3,0)-1,COUNTA(OFFSET(Ref!$G$3,1,MATCH($D$7,Ref!$G$3:$J$3,0)-1,9,1)),1)</xm:f>
          </x14:formula1>
          <xm:sqref>D30</xm:sqref>
        </x14:dataValidation>
        <x14:dataValidation type="list" allowBlank="1" showErrorMessage="1" prompt="Please select fill panel in Fill Station category prior to selecting plumbing" xr:uid="{474205AF-2FAE-4704-8457-196FAF6CD937}">
          <x14:formula1>
            <xm:f>OFFSET(Ref!$G$13,1,MATCH($D$6,Ref!$G$13:$J$13,0)-1,COUNTA(OFFSET(Ref!$G$13,1,MATCH($D$6,Ref!$G$13:$J$13,0)-1,10,1)),1)</xm:f>
          </x14:formula1>
          <xm:sqref>D31</xm:sqref>
        </x14:dataValidation>
        <x14:dataValidation type="list" allowBlank="1" showInputMessage="1" showErrorMessage="1" xr:uid="{00D183B3-22DA-49E4-8140-6ADA056004A3}">
          <x14:formula1>
            <xm:f>OFFSET(Ref!$G$26,1,MATCH($D$6,Ref!$G$26:$J$26,0)-1,COUNTA(OFFSET(Ref!$G$26,1,MATCH($D$6,Ref!$G$26:$J$26,0)-1,12,1)),1)</xm:f>
          </x14:formula1>
          <xm:sqref>D32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0A8FA-6845-4A12-AEC6-220754796771}">
  <sheetPr codeName="Sheet2"/>
  <dimension ref="A1:D32"/>
  <sheetViews>
    <sheetView zoomScale="60" zoomScaleNormal="60" workbookViewId="0">
      <selection sqref="A1:XFD1048576"/>
    </sheetView>
  </sheetViews>
  <sheetFormatPr defaultRowHeight="14.5" x14ac:dyDescent="0.35"/>
  <cols>
    <col min="1" max="1" width="28.26953125" style="1" customWidth="1"/>
    <col min="2" max="2" width="5.7265625" bestFit="1" customWidth="1"/>
    <col min="3" max="3" width="41.453125" customWidth="1"/>
    <col min="4" max="4" width="14.7265625" customWidth="1"/>
  </cols>
  <sheetData>
    <row r="1" spans="1:4" x14ac:dyDescent="0.35">
      <c r="A1" s="49"/>
      <c r="B1" s="21" t="s">
        <v>22</v>
      </c>
      <c r="C1" s="21" t="s">
        <v>23</v>
      </c>
      <c r="D1" s="23" t="s">
        <v>88</v>
      </c>
    </row>
    <row r="2" spans="1:4" x14ac:dyDescent="0.35">
      <c r="A2" s="50" t="s">
        <v>1</v>
      </c>
      <c r="B2" s="19" t="s">
        <v>42</v>
      </c>
      <c r="C2" s="13" t="s">
        <v>0</v>
      </c>
      <c r="D2" s="41">
        <v>12172.739541160594</v>
      </c>
    </row>
    <row r="3" spans="1:4" x14ac:dyDescent="0.35">
      <c r="A3" s="51"/>
      <c r="B3" s="52" t="s">
        <v>41</v>
      </c>
      <c r="C3" s="10" t="s">
        <v>142</v>
      </c>
      <c r="D3" s="53">
        <v>14828.609986504724</v>
      </c>
    </row>
    <row r="4" spans="1:4" x14ac:dyDescent="0.35">
      <c r="A4" s="51"/>
      <c r="B4" s="52" t="s">
        <v>33</v>
      </c>
      <c r="C4" s="10" t="s">
        <v>143</v>
      </c>
      <c r="D4" s="53">
        <v>11943.319838056681</v>
      </c>
    </row>
    <row r="5" spans="1:4" x14ac:dyDescent="0.35">
      <c r="A5" s="54"/>
      <c r="B5" s="18" t="s">
        <v>139</v>
      </c>
      <c r="C5" s="16" t="s">
        <v>191</v>
      </c>
      <c r="D5" s="40">
        <v>11295.546558704453</v>
      </c>
    </row>
    <row r="6" spans="1:4" x14ac:dyDescent="0.35">
      <c r="A6" s="55"/>
      <c r="B6" s="17"/>
      <c r="D6" s="2"/>
    </row>
    <row r="7" spans="1:4" x14ac:dyDescent="0.35">
      <c r="A7" s="50" t="s">
        <v>2</v>
      </c>
      <c r="B7" s="19" t="s">
        <v>146</v>
      </c>
      <c r="C7" s="13" t="s">
        <v>3</v>
      </c>
      <c r="D7" s="41">
        <v>0</v>
      </c>
    </row>
    <row r="8" spans="1:4" x14ac:dyDescent="0.35">
      <c r="A8" s="51"/>
      <c r="B8" s="52" t="s">
        <v>144</v>
      </c>
      <c r="C8" s="10" t="s">
        <v>141</v>
      </c>
      <c r="D8" s="53">
        <v>2746.2887989203782</v>
      </c>
    </row>
    <row r="9" spans="1:4" x14ac:dyDescent="0.35">
      <c r="A9" s="51"/>
      <c r="B9" s="52" t="s">
        <v>42</v>
      </c>
      <c r="C9" s="10" t="s">
        <v>116</v>
      </c>
      <c r="D9" s="53">
        <v>3475.0337381916329</v>
      </c>
    </row>
    <row r="10" spans="1:4" x14ac:dyDescent="0.35">
      <c r="A10" s="54"/>
      <c r="B10" s="18" t="s">
        <v>41</v>
      </c>
      <c r="C10" s="16" t="s">
        <v>117</v>
      </c>
      <c r="D10" s="40">
        <v>3508.7719298245615</v>
      </c>
    </row>
    <row r="11" spans="1:4" x14ac:dyDescent="0.35">
      <c r="A11" s="55"/>
      <c r="B11" s="17"/>
      <c r="D11" s="2"/>
    </row>
    <row r="12" spans="1:4" x14ac:dyDescent="0.35">
      <c r="A12" s="50" t="s">
        <v>6</v>
      </c>
      <c r="B12" s="19" t="s">
        <v>144</v>
      </c>
      <c r="C12" s="13" t="s">
        <v>5</v>
      </c>
      <c r="D12" s="41">
        <v>2456.1403508771932</v>
      </c>
    </row>
    <row r="13" spans="1:4" x14ac:dyDescent="0.35">
      <c r="A13" s="54"/>
      <c r="B13" s="18" t="s">
        <v>42</v>
      </c>
      <c r="C13" s="16" t="s">
        <v>4</v>
      </c>
      <c r="D13" s="40">
        <v>0</v>
      </c>
    </row>
    <row r="14" spans="1:4" x14ac:dyDescent="0.35">
      <c r="A14" s="55"/>
      <c r="B14" s="17"/>
      <c r="D14" s="2"/>
    </row>
    <row r="15" spans="1:4" x14ac:dyDescent="0.35">
      <c r="A15" s="50" t="s">
        <v>7</v>
      </c>
      <c r="B15" s="19" t="s">
        <v>144</v>
      </c>
      <c r="C15" s="13" t="s">
        <v>5</v>
      </c>
      <c r="D15" s="41">
        <v>2321.1875843454791</v>
      </c>
    </row>
    <row r="16" spans="1:4" x14ac:dyDescent="0.35">
      <c r="A16" s="54"/>
      <c r="B16" s="18" t="s">
        <v>42</v>
      </c>
      <c r="C16" s="16" t="s">
        <v>4</v>
      </c>
      <c r="D16" s="40">
        <v>0</v>
      </c>
    </row>
    <row r="17" spans="1:4" x14ac:dyDescent="0.35">
      <c r="A17" s="55"/>
      <c r="B17" s="17"/>
      <c r="D17" s="2"/>
    </row>
    <row r="18" spans="1:4" x14ac:dyDescent="0.35">
      <c r="A18" s="50" t="s">
        <v>8</v>
      </c>
      <c r="B18" s="12" t="s">
        <v>9</v>
      </c>
      <c r="C18" s="13" t="s">
        <v>3</v>
      </c>
      <c r="D18" s="41">
        <v>0</v>
      </c>
    </row>
    <row r="19" spans="1:4" x14ac:dyDescent="0.35">
      <c r="A19" s="51"/>
      <c r="B19" s="56" t="s">
        <v>10</v>
      </c>
      <c r="C19" s="10" t="s">
        <v>26</v>
      </c>
      <c r="D19" s="53">
        <v>2834.0080971659918</v>
      </c>
    </row>
    <row r="20" spans="1:4" x14ac:dyDescent="0.35">
      <c r="A20" s="51"/>
      <c r="B20" s="56" t="s">
        <v>11</v>
      </c>
      <c r="C20" s="10" t="s">
        <v>27</v>
      </c>
      <c r="D20" s="53">
        <v>3036.4372469635628</v>
      </c>
    </row>
    <row r="21" spans="1:4" x14ac:dyDescent="0.35">
      <c r="A21" s="51"/>
      <c r="B21" s="56" t="s">
        <v>12</v>
      </c>
      <c r="C21" s="10" t="s">
        <v>28</v>
      </c>
      <c r="D21" s="53">
        <v>3475.0337381916329</v>
      </c>
    </row>
    <row r="22" spans="1:4" x14ac:dyDescent="0.35">
      <c r="A22" s="51"/>
      <c r="B22" s="56" t="s">
        <v>13</v>
      </c>
      <c r="C22" s="10" t="s">
        <v>29</v>
      </c>
      <c r="D22" s="53">
        <v>4048.5829959514172</v>
      </c>
    </row>
    <row r="23" spans="1:4" x14ac:dyDescent="0.35">
      <c r="A23" s="51"/>
      <c r="B23" s="56" t="s">
        <v>14</v>
      </c>
      <c r="C23" s="10" t="s">
        <v>18</v>
      </c>
      <c r="D23" s="53">
        <v>4588.3940620782732</v>
      </c>
    </row>
    <row r="24" spans="1:4" x14ac:dyDescent="0.35">
      <c r="A24" s="51"/>
      <c r="B24" s="56" t="s">
        <v>15</v>
      </c>
      <c r="C24" s="10" t="s">
        <v>16</v>
      </c>
      <c r="D24" s="53">
        <v>4265.8569500674766</v>
      </c>
    </row>
    <row r="25" spans="1:4" x14ac:dyDescent="0.35">
      <c r="A25" s="54"/>
      <c r="B25" s="15" t="s">
        <v>17</v>
      </c>
      <c r="C25" s="16" t="s">
        <v>30</v>
      </c>
      <c r="D25" s="40">
        <v>4265.8569500674766</v>
      </c>
    </row>
    <row r="26" spans="1:4" x14ac:dyDescent="0.35">
      <c r="A26" s="55"/>
      <c r="B26" s="57"/>
      <c r="D26" s="2"/>
    </row>
    <row r="27" spans="1:4" x14ac:dyDescent="0.35">
      <c r="A27" s="50" t="s">
        <v>25</v>
      </c>
      <c r="B27" s="12" t="s">
        <v>9</v>
      </c>
      <c r="C27" s="13" t="s">
        <v>3</v>
      </c>
      <c r="D27" s="41">
        <v>0</v>
      </c>
    </row>
    <row r="28" spans="1:4" x14ac:dyDescent="0.35">
      <c r="A28" s="51"/>
      <c r="B28" s="56" t="s">
        <v>21</v>
      </c>
      <c r="C28" s="10" t="s">
        <v>19</v>
      </c>
      <c r="D28" s="53">
        <v>418.35357624831306</v>
      </c>
    </row>
    <row r="29" spans="1:4" x14ac:dyDescent="0.35">
      <c r="A29" s="51"/>
      <c r="B29" s="56" t="s">
        <v>10</v>
      </c>
      <c r="C29" s="10" t="s">
        <v>20</v>
      </c>
      <c r="D29" s="53">
        <v>438.59649122807019</v>
      </c>
    </row>
    <row r="30" spans="1:4" x14ac:dyDescent="0.35">
      <c r="A30" s="51"/>
      <c r="B30" s="56" t="s">
        <v>24</v>
      </c>
      <c r="C30" s="10" t="s">
        <v>186</v>
      </c>
      <c r="D30" s="79">
        <v>867.07152496626168</v>
      </c>
    </row>
    <row r="31" spans="1:4" ht="15" thickBot="1" x14ac:dyDescent="0.4">
      <c r="A31" s="58"/>
      <c r="B31" s="59" t="s">
        <v>168</v>
      </c>
      <c r="C31" s="26" t="s">
        <v>187</v>
      </c>
      <c r="D31" s="80">
        <v>887.31443994601898</v>
      </c>
    </row>
    <row r="32" spans="1:4" x14ac:dyDescent="0.35">
      <c r="B32" s="17"/>
    </row>
  </sheetData>
  <sheetProtection algorithmName="SHA-512" hashValue="bETqtKhEbsU+v2K/bESMhsj4nwsgW22yfiNDvw58nFVYDg53RQEi1ILrAWaDKr6qzBpBhL4SGoKtnoxcDJJgDQ==" saltValue="axrZKzr5nFXhOkt4BKT9mg==" spinCount="100000" sheet="1" objects="1" scenarios="1"/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5F67E-F0D1-43CA-9D7F-57E316057A5C}">
  <sheetPr codeName="Sheet3"/>
  <dimension ref="A1:E65"/>
  <sheetViews>
    <sheetView zoomScale="77" zoomScaleNormal="77" workbookViewId="0">
      <selection activeCell="C10" sqref="C10"/>
    </sheetView>
  </sheetViews>
  <sheetFormatPr defaultRowHeight="14.5" x14ac:dyDescent="0.35"/>
  <cols>
    <col min="1" max="1" width="19.453125" customWidth="1"/>
    <col min="3" max="3" width="51.26953125" customWidth="1"/>
    <col min="4" max="4" width="14.1796875" customWidth="1"/>
    <col min="5" max="5" width="8.81640625" customWidth="1"/>
  </cols>
  <sheetData>
    <row r="1" spans="1:5" x14ac:dyDescent="0.35">
      <c r="A1" s="49"/>
      <c r="B1" s="21" t="s">
        <v>22</v>
      </c>
      <c r="C1" s="21" t="s">
        <v>23</v>
      </c>
      <c r="D1" s="23" t="s">
        <v>88</v>
      </c>
      <c r="E1" s="61"/>
    </row>
    <row r="2" spans="1:5" x14ac:dyDescent="0.35">
      <c r="A2" s="50" t="s">
        <v>1</v>
      </c>
      <c r="B2" s="43" t="s">
        <v>21</v>
      </c>
      <c r="C2" s="13" t="s">
        <v>127</v>
      </c>
      <c r="D2" s="41">
        <v>35762.483130904184</v>
      </c>
      <c r="E2" s="62" t="s">
        <v>125</v>
      </c>
    </row>
    <row r="3" spans="1:5" x14ac:dyDescent="0.35">
      <c r="A3" s="51"/>
      <c r="B3" s="44" t="s">
        <v>10</v>
      </c>
      <c r="C3" s="10" t="s">
        <v>128</v>
      </c>
      <c r="D3" s="53">
        <v>39811.0661268556</v>
      </c>
      <c r="E3" s="62" t="s">
        <v>174</v>
      </c>
    </row>
    <row r="4" spans="1:5" x14ac:dyDescent="0.35">
      <c r="A4" s="51"/>
      <c r="B4" s="44" t="s">
        <v>11</v>
      </c>
      <c r="C4" s="10" t="s">
        <v>130</v>
      </c>
      <c r="D4" s="53">
        <v>42510.121457489877</v>
      </c>
      <c r="E4" s="62" t="s">
        <v>175</v>
      </c>
    </row>
    <row r="5" spans="1:5" x14ac:dyDescent="0.35">
      <c r="A5" s="51"/>
      <c r="B5" s="44" t="s">
        <v>12</v>
      </c>
      <c r="C5" s="10" t="s">
        <v>131</v>
      </c>
      <c r="D5" s="53">
        <v>39136.302294197034</v>
      </c>
      <c r="E5" s="62" t="s">
        <v>125</v>
      </c>
    </row>
    <row r="6" spans="1:5" x14ac:dyDescent="0.35">
      <c r="A6" s="51"/>
      <c r="B6" s="44" t="s">
        <v>13</v>
      </c>
      <c r="C6" s="10" t="s">
        <v>132</v>
      </c>
      <c r="D6" s="53">
        <v>41835.357624831311</v>
      </c>
      <c r="E6" s="62" t="s">
        <v>174</v>
      </c>
    </row>
    <row r="7" spans="1:5" x14ac:dyDescent="0.35">
      <c r="A7" s="51"/>
      <c r="B7" s="44" t="s">
        <v>14</v>
      </c>
      <c r="C7" s="10" t="s">
        <v>133</v>
      </c>
      <c r="D7" s="53">
        <v>44534.412955465588</v>
      </c>
      <c r="E7" s="62" t="s">
        <v>175</v>
      </c>
    </row>
    <row r="8" spans="1:5" x14ac:dyDescent="0.35">
      <c r="A8" s="54"/>
      <c r="B8" s="45" t="s">
        <v>137</v>
      </c>
      <c r="C8" s="16" t="s">
        <v>190</v>
      </c>
      <c r="D8" s="40">
        <v>25303.643724696358</v>
      </c>
      <c r="E8" s="62" t="s">
        <v>125</v>
      </c>
    </row>
    <row r="9" spans="1:5" x14ac:dyDescent="0.35">
      <c r="A9" s="55"/>
      <c r="B9" s="17"/>
      <c r="D9" s="2"/>
      <c r="E9" s="62"/>
    </row>
    <row r="10" spans="1:5" x14ac:dyDescent="0.35">
      <c r="A10" s="50" t="s">
        <v>32</v>
      </c>
      <c r="B10" s="12" t="s">
        <v>10</v>
      </c>
      <c r="C10" s="13" t="s">
        <v>225</v>
      </c>
      <c r="D10" s="41">
        <v>4109.3117408906883</v>
      </c>
      <c r="E10" s="62" t="s">
        <v>171</v>
      </c>
    </row>
    <row r="11" spans="1:5" x14ac:dyDescent="0.35">
      <c r="A11" s="51"/>
      <c r="B11" s="56" t="s">
        <v>11</v>
      </c>
      <c r="C11" s="10" t="s">
        <v>226</v>
      </c>
      <c r="D11" s="53">
        <v>3913.6302294197035</v>
      </c>
      <c r="E11" s="62" t="s">
        <v>172</v>
      </c>
    </row>
    <row r="12" spans="1:5" x14ac:dyDescent="0.35">
      <c r="A12" s="51"/>
      <c r="B12" s="56" t="s">
        <v>12</v>
      </c>
      <c r="C12" s="10" t="s">
        <v>227</v>
      </c>
      <c r="D12" s="53">
        <v>3677.4628879892039</v>
      </c>
      <c r="E12" s="62" t="s">
        <v>173</v>
      </c>
    </row>
    <row r="13" spans="1:5" x14ac:dyDescent="0.35">
      <c r="A13" s="51"/>
      <c r="B13" s="56" t="s">
        <v>10</v>
      </c>
      <c r="C13" s="10" t="s">
        <v>228</v>
      </c>
      <c r="D13" s="53">
        <v>4723.3468286099869</v>
      </c>
      <c r="E13" s="62"/>
    </row>
    <row r="14" spans="1:5" x14ac:dyDescent="0.35">
      <c r="A14" s="51"/>
      <c r="B14" s="56" t="s">
        <v>11</v>
      </c>
      <c r="C14" s="10" t="s">
        <v>229</v>
      </c>
      <c r="D14" s="53">
        <v>3711.2010796221325</v>
      </c>
      <c r="E14" s="62"/>
    </row>
    <row r="15" spans="1:5" x14ac:dyDescent="0.35">
      <c r="A15" s="51"/>
      <c r="B15" s="56" t="s">
        <v>12</v>
      </c>
      <c r="C15" s="10" t="s">
        <v>230</v>
      </c>
      <c r="D15" s="53">
        <v>3677.4628879892039</v>
      </c>
      <c r="E15" s="62"/>
    </row>
    <row r="16" spans="1:5" x14ac:dyDescent="0.35">
      <c r="A16" s="51"/>
      <c r="B16" s="56" t="s">
        <v>124</v>
      </c>
      <c r="C16" s="10" t="s">
        <v>123</v>
      </c>
      <c r="D16" s="65">
        <v>0</v>
      </c>
      <c r="E16" s="62"/>
    </row>
    <row r="17" spans="1:5" x14ac:dyDescent="0.35">
      <c r="A17" s="51"/>
      <c r="B17" s="56" t="s">
        <v>96</v>
      </c>
      <c r="C17" s="10" t="s">
        <v>123</v>
      </c>
      <c r="D17" s="65">
        <v>0</v>
      </c>
      <c r="E17" s="62"/>
    </row>
    <row r="18" spans="1:5" x14ac:dyDescent="0.35">
      <c r="A18" s="51"/>
      <c r="B18" s="56" t="s">
        <v>11</v>
      </c>
      <c r="C18" s="10" t="s">
        <v>231</v>
      </c>
      <c r="D18" s="53">
        <v>4784.0755735492576</v>
      </c>
      <c r="E18" s="62" t="s">
        <v>177</v>
      </c>
    </row>
    <row r="19" spans="1:5" x14ac:dyDescent="0.35">
      <c r="A19" s="24"/>
      <c r="B19" s="56" t="s">
        <v>12</v>
      </c>
      <c r="C19" s="10" t="s">
        <v>232</v>
      </c>
      <c r="D19" s="53">
        <v>5060.7287449392716</v>
      </c>
      <c r="E19" s="62" t="s">
        <v>176</v>
      </c>
    </row>
    <row r="20" spans="1:5" x14ac:dyDescent="0.35">
      <c r="A20" s="24"/>
      <c r="B20" s="56" t="s">
        <v>124</v>
      </c>
      <c r="C20" s="10" t="s">
        <v>123</v>
      </c>
      <c r="D20" s="65">
        <v>0</v>
      </c>
      <c r="E20" s="62"/>
    </row>
    <row r="21" spans="1:5" x14ac:dyDescent="0.35">
      <c r="A21" s="24"/>
      <c r="B21" s="56" t="s">
        <v>96</v>
      </c>
      <c r="C21" s="10" t="s">
        <v>123</v>
      </c>
      <c r="D21" s="65">
        <v>0</v>
      </c>
      <c r="E21" s="62"/>
    </row>
    <row r="22" spans="1:5" x14ac:dyDescent="0.35">
      <c r="A22" s="24"/>
      <c r="B22" s="56" t="s">
        <v>11</v>
      </c>
      <c r="C22" s="10" t="s">
        <v>233</v>
      </c>
      <c r="D22" s="53">
        <v>5276.653171390014</v>
      </c>
      <c r="E22" s="62" t="s">
        <v>178</v>
      </c>
    </row>
    <row r="23" spans="1:5" x14ac:dyDescent="0.35">
      <c r="A23" s="24"/>
      <c r="B23" s="56" t="s">
        <v>12</v>
      </c>
      <c r="C23" s="10" t="s">
        <v>234</v>
      </c>
      <c r="D23" s="53">
        <v>5236.1673414304996</v>
      </c>
      <c r="E23" s="62" t="s">
        <v>176</v>
      </c>
    </row>
    <row r="24" spans="1:5" x14ac:dyDescent="0.35">
      <c r="A24" s="24"/>
      <c r="B24" s="56" t="s">
        <v>124</v>
      </c>
      <c r="C24" s="10" t="s">
        <v>123</v>
      </c>
      <c r="D24" s="65">
        <v>0</v>
      </c>
      <c r="E24" s="62"/>
    </row>
    <row r="25" spans="1:5" x14ac:dyDescent="0.35">
      <c r="A25" s="66"/>
      <c r="B25" s="15" t="s">
        <v>96</v>
      </c>
      <c r="C25" s="16" t="s">
        <v>123</v>
      </c>
      <c r="D25" s="42">
        <v>0</v>
      </c>
      <c r="E25" s="62"/>
    </row>
    <row r="26" spans="1:5" x14ac:dyDescent="0.35">
      <c r="A26" s="67"/>
      <c r="B26" s="17"/>
      <c r="E26" s="62"/>
    </row>
    <row r="27" spans="1:5" x14ac:dyDescent="0.35">
      <c r="A27" s="50" t="s">
        <v>34</v>
      </c>
      <c r="B27" s="12" t="s">
        <v>146</v>
      </c>
      <c r="C27" s="13" t="s">
        <v>35</v>
      </c>
      <c r="D27" s="14">
        <v>0</v>
      </c>
      <c r="E27" s="62"/>
    </row>
    <row r="28" spans="1:5" x14ac:dyDescent="0.35">
      <c r="A28" s="51"/>
      <c r="B28" s="56" t="s">
        <v>42</v>
      </c>
      <c r="C28" s="10" t="s">
        <v>36</v>
      </c>
      <c r="D28" s="53">
        <v>5465.5870445344135</v>
      </c>
      <c r="E28" s="63"/>
    </row>
    <row r="29" spans="1:5" x14ac:dyDescent="0.35">
      <c r="A29" s="51"/>
      <c r="B29" s="56" t="s">
        <v>41</v>
      </c>
      <c r="C29" s="10" t="s">
        <v>37</v>
      </c>
      <c r="D29" s="53">
        <v>3036.4372469635628</v>
      </c>
      <c r="E29" s="63"/>
    </row>
    <row r="30" spans="1:5" x14ac:dyDescent="0.35">
      <c r="A30" s="51"/>
      <c r="B30" s="56" t="s">
        <v>33</v>
      </c>
      <c r="C30" s="10" t="s">
        <v>38</v>
      </c>
      <c r="D30" s="53">
        <v>6342.7800269905529</v>
      </c>
      <c r="E30" s="63"/>
    </row>
    <row r="31" spans="1:5" x14ac:dyDescent="0.35">
      <c r="A31" s="51"/>
      <c r="B31" s="56" t="s">
        <v>138</v>
      </c>
      <c r="C31" s="10" t="s">
        <v>39</v>
      </c>
      <c r="D31" s="53">
        <v>5701.7543859649122</v>
      </c>
      <c r="E31" s="63"/>
    </row>
    <row r="32" spans="1:5" x14ac:dyDescent="0.35">
      <c r="A32" s="54"/>
      <c r="B32" s="15" t="s">
        <v>139</v>
      </c>
      <c r="C32" s="16" t="s">
        <v>40</v>
      </c>
      <c r="D32" s="40">
        <v>6713.9001349527671</v>
      </c>
      <c r="E32" s="63"/>
    </row>
    <row r="33" spans="1:5" x14ac:dyDescent="0.35">
      <c r="A33" s="55"/>
      <c r="B33" s="57"/>
      <c r="D33" s="2"/>
      <c r="E33" s="62"/>
    </row>
    <row r="34" spans="1:5" x14ac:dyDescent="0.35">
      <c r="A34" s="50" t="s">
        <v>43</v>
      </c>
      <c r="B34" s="12" t="s">
        <v>144</v>
      </c>
      <c r="C34" s="13" t="s">
        <v>44</v>
      </c>
      <c r="D34" s="41">
        <v>0</v>
      </c>
      <c r="E34" s="62"/>
    </row>
    <row r="35" spans="1:5" x14ac:dyDescent="0.35">
      <c r="A35" s="54"/>
      <c r="B35" s="15" t="s">
        <v>42</v>
      </c>
      <c r="C35" s="16" t="s">
        <v>45</v>
      </c>
      <c r="D35" s="40">
        <v>0</v>
      </c>
      <c r="E35" s="62"/>
    </row>
    <row r="36" spans="1:5" x14ac:dyDescent="0.35">
      <c r="A36" s="55"/>
      <c r="B36" s="57"/>
      <c r="D36" s="2"/>
      <c r="E36" s="62"/>
    </row>
    <row r="37" spans="1:5" x14ac:dyDescent="0.35">
      <c r="A37" s="50" t="s">
        <v>25</v>
      </c>
      <c r="B37" s="12" t="s">
        <v>9</v>
      </c>
      <c r="C37" s="13" t="s">
        <v>3</v>
      </c>
      <c r="D37" s="41">
        <v>0</v>
      </c>
      <c r="E37" s="62"/>
    </row>
    <row r="38" spans="1:5" ht="15" thickBot="1" x14ac:dyDescent="0.4">
      <c r="A38" s="58"/>
      <c r="B38" s="59" t="s">
        <v>21</v>
      </c>
      <c r="C38" s="26" t="s">
        <v>145</v>
      </c>
      <c r="D38" s="60">
        <v>398.11066126855599</v>
      </c>
      <c r="E38" s="64"/>
    </row>
    <row r="39" spans="1:5" x14ac:dyDescent="0.35">
      <c r="A39" s="1"/>
      <c r="B39" s="3"/>
      <c r="D39" s="2"/>
    </row>
    <row r="40" spans="1:5" x14ac:dyDescent="0.35">
      <c r="A40" s="1"/>
      <c r="B40" s="3"/>
      <c r="D40" s="2"/>
    </row>
    <row r="41" spans="1:5" x14ac:dyDescent="0.35">
      <c r="A41" s="1"/>
      <c r="B41" s="3"/>
      <c r="D41" s="2"/>
    </row>
    <row r="42" spans="1:5" x14ac:dyDescent="0.35">
      <c r="A42" s="1"/>
      <c r="B42" s="3"/>
      <c r="D42" s="2"/>
    </row>
    <row r="43" spans="1:5" x14ac:dyDescent="0.35">
      <c r="A43" s="1"/>
      <c r="B43" s="3"/>
      <c r="D43" s="2"/>
    </row>
    <row r="44" spans="1:5" x14ac:dyDescent="0.35">
      <c r="A44" s="1"/>
      <c r="B44" s="3"/>
      <c r="D44" s="2"/>
    </row>
    <row r="45" spans="1:5" x14ac:dyDescent="0.35">
      <c r="A45" s="1"/>
      <c r="B45" s="3"/>
      <c r="D45" s="2"/>
    </row>
    <row r="46" spans="1:5" x14ac:dyDescent="0.35">
      <c r="A46" s="1"/>
      <c r="B46" s="3"/>
      <c r="D46" s="2"/>
    </row>
    <row r="47" spans="1:5" x14ac:dyDescent="0.35">
      <c r="A47" s="1"/>
      <c r="B47" s="3"/>
      <c r="D47" s="2"/>
    </row>
    <row r="48" spans="1:5" x14ac:dyDescent="0.35">
      <c r="A48" s="1"/>
      <c r="B48" s="3"/>
      <c r="D48" s="2"/>
    </row>
    <row r="49" spans="1:2" x14ac:dyDescent="0.35">
      <c r="A49" s="1"/>
      <c r="B49" s="3"/>
    </row>
    <row r="50" spans="1:2" x14ac:dyDescent="0.35">
      <c r="A50" s="1"/>
      <c r="B50" s="3"/>
    </row>
    <row r="51" spans="1:2" x14ac:dyDescent="0.35">
      <c r="A51" s="1"/>
      <c r="B51" s="3"/>
    </row>
    <row r="52" spans="1:2" x14ac:dyDescent="0.35">
      <c r="A52" s="1"/>
      <c r="B52" s="3"/>
    </row>
    <row r="53" spans="1:2" x14ac:dyDescent="0.35">
      <c r="A53" s="1"/>
      <c r="B53" s="3"/>
    </row>
    <row r="54" spans="1:2" x14ac:dyDescent="0.35">
      <c r="A54" s="1"/>
      <c r="B54" s="3"/>
    </row>
    <row r="55" spans="1:2" x14ac:dyDescent="0.35">
      <c r="A55" s="1"/>
      <c r="B55" s="3"/>
    </row>
    <row r="56" spans="1:2" x14ac:dyDescent="0.35">
      <c r="A56" s="1"/>
      <c r="B56" s="3"/>
    </row>
    <row r="57" spans="1:2" x14ac:dyDescent="0.35">
      <c r="A57" s="1"/>
      <c r="B57" s="3"/>
    </row>
    <row r="58" spans="1:2" x14ac:dyDescent="0.35">
      <c r="A58" s="1"/>
      <c r="B58" s="3"/>
    </row>
    <row r="59" spans="1:2" x14ac:dyDescent="0.35">
      <c r="A59" s="1"/>
      <c r="B59" s="3"/>
    </row>
    <row r="60" spans="1:2" x14ac:dyDescent="0.35">
      <c r="A60" s="1"/>
      <c r="B60" s="3"/>
    </row>
    <row r="61" spans="1:2" x14ac:dyDescent="0.35">
      <c r="A61" s="1"/>
      <c r="B61" s="3"/>
    </row>
    <row r="62" spans="1:2" x14ac:dyDescent="0.35">
      <c r="A62" s="1"/>
      <c r="B62" s="3"/>
    </row>
    <row r="63" spans="1:2" x14ac:dyDescent="0.35">
      <c r="A63" s="1"/>
      <c r="B63" s="3"/>
    </row>
    <row r="64" spans="1:2" x14ac:dyDescent="0.35">
      <c r="A64" s="1"/>
      <c r="B64" s="3"/>
    </row>
    <row r="65" spans="2:2" x14ac:dyDescent="0.35">
      <c r="B65" s="3"/>
    </row>
  </sheetData>
  <sheetProtection algorithmName="SHA-512" hashValue="XWCKnscIAxkuKicg8nJRsEIm2wWvm4VnRXa0yRai8uBKC8WASbQ1z3bnSSolUWf0hyWbHfPyuLMx3W3gGL8OGg==" saltValue="KbjSlQPXdHo7XccKeqvppA==" spinCount="100000" sheet="1" objects="1" scenarios="1"/>
  <phoneticPr fontId="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4D7AA-480C-41EB-AF47-60358080014D}">
  <sheetPr codeName="Sheet4"/>
  <dimension ref="A1:H61"/>
  <sheetViews>
    <sheetView zoomScale="75" zoomScaleNormal="75" workbookViewId="0">
      <selection activeCell="D11" sqref="D11"/>
    </sheetView>
  </sheetViews>
  <sheetFormatPr defaultRowHeight="14.5" x14ac:dyDescent="0.35"/>
  <cols>
    <col min="1" max="1" width="32" customWidth="1"/>
    <col min="3" max="3" width="30.54296875" customWidth="1"/>
    <col min="4" max="4" width="7.7265625" customWidth="1"/>
    <col min="5" max="5" width="10.54296875" style="2" customWidth="1"/>
    <col min="6" max="6" width="14" customWidth="1"/>
    <col min="7" max="7" width="14.453125" customWidth="1"/>
    <col min="8" max="8" width="18.54296875" customWidth="1"/>
    <col min="9" max="9" width="8.81640625" customWidth="1"/>
  </cols>
  <sheetData>
    <row r="1" spans="1:8" x14ac:dyDescent="0.35">
      <c r="A1" s="20" t="s">
        <v>52</v>
      </c>
      <c r="B1" s="21" t="s">
        <v>90</v>
      </c>
      <c r="C1" s="22"/>
      <c r="D1" s="22"/>
      <c r="E1" s="31" t="s">
        <v>89</v>
      </c>
      <c r="F1" s="23" t="s">
        <v>89</v>
      </c>
      <c r="G1" s="23" t="s">
        <v>89</v>
      </c>
      <c r="H1" s="46" t="s">
        <v>47</v>
      </c>
    </row>
    <row r="2" spans="1:8" ht="15.5" x14ac:dyDescent="0.35">
      <c r="A2" s="24"/>
      <c r="B2" s="52" t="s">
        <v>169</v>
      </c>
      <c r="C2" s="68" t="s">
        <v>108</v>
      </c>
      <c r="D2" s="68"/>
      <c r="E2" s="69">
        <v>5230.6815114709852</v>
      </c>
      <c r="F2" s="68"/>
      <c r="G2" s="68"/>
      <c r="H2" s="47" t="s">
        <v>87</v>
      </c>
    </row>
    <row r="3" spans="1:8" ht="16" thickBot="1" x14ac:dyDescent="0.4">
      <c r="A3" s="25"/>
      <c r="B3" s="26" t="s">
        <v>170</v>
      </c>
      <c r="C3" s="27" t="s">
        <v>57</v>
      </c>
      <c r="D3" s="27"/>
      <c r="E3" s="28">
        <v>2274.6153846153848</v>
      </c>
      <c r="F3" s="27"/>
      <c r="G3" s="29"/>
      <c r="H3" s="48" t="s">
        <v>86</v>
      </c>
    </row>
    <row r="4" spans="1:8" x14ac:dyDescent="0.35">
      <c r="A4" s="67"/>
    </row>
    <row r="5" spans="1:8" x14ac:dyDescent="0.35">
      <c r="A5" s="70" t="s">
        <v>53</v>
      </c>
      <c r="B5" s="52" t="s">
        <v>9</v>
      </c>
      <c r="C5" s="10" t="s">
        <v>3</v>
      </c>
      <c r="D5" s="10"/>
      <c r="E5" s="71"/>
      <c r="F5" s="72">
        <v>0</v>
      </c>
      <c r="G5" s="69">
        <v>0</v>
      </c>
    </row>
    <row r="6" spans="1:8" x14ac:dyDescent="0.35">
      <c r="A6" s="24"/>
      <c r="B6" s="52" t="s">
        <v>21</v>
      </c>
      <c r="C6" s="10" t="s">
        <v>236</v>
      </c>
      <c r="D6" s="10"/>
      <c r="E6" s="71"/>
      <c r="F6" s="73">
        <v>276.65317139001354</v>
      </c>
      <c r="G6" s="74">
        <v>276.65317139001354</v>
      </c>
    </row>
    <row r="7" spans="1:8" x14ac:dyDescent="0.35">
      <c r="A7" s="24"/>
      <c r="B7" s="52" t="s">
        <v>10</v>
      </c>
      <c r="C7" s="10" t="s">
        <v>235</v>
      </c>
      <c r="D7" s="10"/>
      <c r="E7" s="71"/>
      <c r="F7" s="73">
        <v>425.10121457489873</v>
      </c>
      <c r="G7" s="74">
        <v>425.10121457489873</v>
      </c>
    </row>
    <row r="8" spans="1:8" x14ac:dyDescent="0.35">
      <c r="A8" s="24"/>
      <c r="B8" s="52" t="s">
        <v>13</v>
      </c>
      <c r="C8" s="10" t="s">
        <v>58</v>
      </c>
      <c r="D8" s="10"/>
      <c r="E8" s="71"/>
      <c r="F8" s="73">
        <v>1133.6032388663966</v>
      </c>
      <c r="G8" s="74">
        <v>1133.6032388663966</v>
      </c>
    </row>
    <row r="9" spans="1:8" x14ac:dyDescent="0.35">
      <c r="A9" s="24"/>
      <c r="B9" s="52" t="s">
        <v>14</v>
      </c>
      <c r="C9" s="10" t="s">
        <v>59</v>
      </c>
      <c r="D9" s="10"/>
      <c r="E9" s="71"/>
      <c r="F9" s="73">
        <v>2267.2064777327932</v>
      </c>
      <c r="G9" s="74">
        <v>2267.2064777327932</v>
      </c>
    </row>
    <row r="10" spans="1:8" x14ac:dyDescent="0.35">
      <c r="A10" s="24"/>
      <c r="B10" s="52" t="s">
        <v>136</v>
      </c>
      <c r="C10" s="10" t="s">
        <v>60</v>
      </c>
      <c r="D10" s="10"/>
      <c r="E10" s="71"/>
      <c r="F10" s="73">
        <v>931.17408906882599</v>
      </c>
      <c r="G10" s="74">
        <v>931.17408906882599</v>
      </c>
    </row>
    <row r="11" spans="1:8" x14ac:dyDescent="0.35">
      <c r="A11" s="24"/>
      <c r="B11" s="52" t="s">
        <v>137</v>
      </c>
      <c r="C11" s="10" t="s">
        <v>61</v>
      </c>
      <c r="D11" s="10"/>
      <c r="E11" s="71"/>
      <c r="F11" s="73">
        <v>1889.3387314439947</v>
      </c>
      <c r="G11" s="74">
        <v>1889.3387314439947</v>
      </c>
    </row>
    <row r="12" spans="1:8" x14ac:dyDescent="0.35">
      <c r="A12" s="24"/>
      <c r="B12" s="52" t="s">
        <v>124</v>
      </c>
      <c r="C12" s="10" t="s">
        <v>62</v>
      </c>
      <c r="D12" s="10"/>
      <c r="E12" s="71"/>
      <c r="F12" s="73">
        <v>2462.8879892037789</v>
      </c>
      <c r="G12" s="74">
        <v>2462.8879892037789</v>
      </c>
    </row>
    <row r="13" spans="1:8" x14ac:dyDescent="0.35">
      <c r="A13" s="67"/>
      <c r="F13" s="75"/>
      <c r="G13" s="68"/>
    </row>
    <row r="14" spans="1:8" x14ac:dyDescent="0.35">
      <c r="A14" s="70" t="s">
        <v>54</v>
      </c>
      <c r="B14" s="56" t="s">
        <v>9</v>
      </c>
      <c r="C14" s="10" t="s">
        <v>3</v>
      </c>
      <c r="D14" s="10"/>
      <c r="E14" s="71"/>
      <c r="F14" s="72">
        <v>0</v>
      </c>
      <c r="G14" s="69">
        <v>0</v>
      </c>
    </row>
    <row r="15" spans="1:8" x14ac:dyDescent="0.35">
      <c r="A15" s="24"/>
      <c r="B15" s="56" t="s">
        <v>21</v>
      </c>
      <c r="C15" s="10" t="s">
        <v>63</v>
      </c>
      <c r="D15" s="10"/>
      <c r="E15" s="71"/>
      <c r="F15" s="72">
        <v>2274.6153846153848</v>
      </c>
      <c r="G15" s="69">
        <v>5230.6815114709852</v>
      </c>
    </row>
    <row r="16" spans="1:8" x14ac:dyDescent="0.35">
      <c r="A16" s="24"/>
      <c r="B16" s="56" t="s">
        <v>10</v>
      </c>
      <c r="C16" s="10" t="s">
        <v>64</v>
      </c>
      <c r="D16" s="10"/>
      <c r="E16" s="71"/>
      <c r="F16" s="72">
        <v>4549.2307692307695</v>
      </c>
      <c r="G16" s="69">
        <v>10461.36302294197</v>
      </c>
    </row>
    <row r="17" spans="1:7" x14ac:dyDescent="0.35">
      <c r="A17" s="24"/>
      <c r="B17" s="56" t="s">
        <v>11</v>
      </c>
      <c r="C17" s="10" t="s">
        <v>65</v>
      </c>
      <c r="D17" s="10"/>
      <c r="E17" s="71"/>
      <c r="F17" s="72">
        <v>6823.8461538461543</v>
      </c>
      <c r="G17" s="69">
        <v>15692.044534412955</v>
      </c>
    </row>
    <row r="18" spans="1:7" x14ac:dyDescent="0.35">
      <c r="A18" s="24"/>
      <c r="B18" s="56" t="s">
        <v>12</v>
      </c>
      <c r="C18" s="10" t="s">
        <v>66</v>
      </c>
      <c r="D18" s="10"/>
      <c r="E18" s="71"/>
      <c r="F18" s="72">
        <v>9098.461538461539</v>
      </c>
      <c r="G18" s="69">
        <v>20922.726045883941</v>
      </c>
    </row>
    <row r="19" spans="1:7" x14ac:dyDescent="0.35">
      <c r="A19" s="24"/>
      <c r="B19" s="56" t="s">
        <v>13</v>
      </c>
      <c r="C19" s="10" t="s">
        <v>67</v>
      </c>
      <c r="D19" s="10"/>
      <c r="E19" s="71"/>
      <c r="F19" s="72">
        <v>11373.076923076924</v>
      </c>
      <c r="G19" s="69">
        <v>26153.407557354927</v>
      </c>
    </row>
    <row r="20" spans="1:7" x14ac:dyDescent="0.35">
      <c r="A20" s="24"/>
      <c r="B20" s="56" t="s">
        <v>14</v>
      </c>
      <c r="C20" s="10" t="s">
        <v>68</v>
      </c>
      <c r="D20" s="10"/>
      <c r="E20" s="71"/>
      <c r="F20" s="72">
        <v>13647.692307692309</v>
      </c>
      <c r="G20" s="69">
        <v>31384.08906882591</v>
      </c>
    </row>
    <row r="21" spans="1:7" x14ac:dyDescent="0.35">
      <c r="A21" s="67"/>
    </row>
    <row r="22" spans="1:7" x14ac:dyDescent="0.35">
      <c r="A22" s="70" t="s">
        <v>55</v>
      </c>
      <c r="B22" s="56" t="s">
        <v>9</v>
      </c>
      <c r="C22" s="10" t="s">
        <v>3</v>
      </c>
      <c r="D22" s="10"/>
      <c r="E22" s="71"/>
    </row>
    <row r="23" spans="1:7" x14ac:dyDescent="0.35">
      <c r="A23" s="24"/>
      <c r="B23" s="56" t="s">
        <v>17</v>
      </c>
      <c r="C23" s="10" t="s">
        <v>69</v>
      </c>
      <c r="D23" s="10"/>
      <c r="E23" s="71">
        <v>555.78910051152877</v>
      </c>
      <c r="F23" s="2"/>
    </row>
    <row r="24" spans="1:7" x14ac:dyDescent="0.35">
      <c r="A24" s="24"/>
      <c r="B24" s="56" t="s">
        <v>185</v>
      </c>
      <c r="C24" s="10" t="s">
        <v>179</v>
      </c>
      <c r="D24" s="10"/>
      <c r="E24" s="71">
        <v>132.33073821703067</v>
      </c>
      <c r="F24" s="2"/>
    </row>
    <row r="25" spans="1:7" x14ac:dyDescent="0.35">
      <c r="A25" s="24"/>
      <c r="B25" s="56" t="s">
        <v>91</v>
      </c>
      <c r="C25" s="10" t="s">
        <v>180</v>
      </c>
      <c r="D25" s="10"/>
      <c r="E25" s="71">
        <v>264.66147643406134</v>
      </c>
      <c r="F25" s="2"/>
    </row>
    <row r="26" spans="1:7" x14ac:dyDescent="0.35">
      <c r="A26" s="24"/>
      <c r="B26" s="56" t="s">
        <v>92</v>
      </c>
      <c r="C26" s="10" t="s">
        <v>181</v>
      </c>
      <c r="D26" s="10"/>
      <c r="E26" s="71">
        <v>330.82684554257662</v>
      </c>
      <c r="F26" s="2"/>
    </row>
    <row r="27" spans="1:7" x14ac:dyDescent="0.35">
      <c r="A27" s="24"/>
      <c r="B27" s="56" t="s">
        <v>93</v>
      </c>
      <c r="C27" s="10" t="s">
        <v>182</v>
      </c>
      <c r="D27" s="10"/>
      <c r="E27" s="71">
        <v>396.99221465109196</v>
      </c>
      <c r="F27" s="2"/>
    </row>
    <row r="28" spans="1:7" x14ac:dyDescent="0.35">
      <c r="A28" s="24"/>
      <c r="B28" s="56" t="s">
        <v>94</v>
      </c>
      <c r="C28" s="10" t="s">
        <v>183</v>
      </c>
      <c r="D28" s="10"/>
      <c r="E28" s="71">
        <v>463.15758375960729</v>
      </c>
      <c r="F28" s="2"/>
    </row>
    <row r="29" spans="1:7" x14ac:dyDescent="0.35">
      <c r="A29" s="24"/>
      <c r="B29" s="56" t="s">
        <v>95</v>
      </c>
      <c r="C29" s="10" t="s">
        <v>184</v>
      </c>
      <c r="D29" s="10"/>
      <c r="E29" s="71">
        <v>529.32295286812268</v>
      </c>
      <c r="F29" s="2"/>
    </row>
    <row r="30" spans="1:7" x14ac:dyDescent="0.35">
      <c r="A30" s="24"/>
      <c r="B30" s="56" t="s">
        <v>91</v>
      </c>
      <c r="C30" s="10" t="s">
        <v>70</v>
      </c>
      <c r="D30" s="10"/>
      <c r="E30" s="71">
        <v>264.66147643406134</v>
      </c>
      <c r="F30" s="2"/>
    </row>
    <row r="31" spans="1:7" x14ac:dyDescent="0.35">
      <c r="A31" s="24"/>
      <c r="B31" s="56" t="s">
        <v>92</v>
      </c>
      <c r="C31" s="10" t="s">
        <v>71</v>
      </c>
      <c r="D31" s="10"/>
      <c r="E31" s="71">
        <v>330.82684554257662</v>
      </c>
      <c r="F31" s="2"/>
    </row>
    <row r="32" spans="1:7" x14ac:dyDescent="0.35">
      <c r="A32" s="24"/>
      <c r="B32" s="56" t="s">
        <v>93</v>
      </c>
      <c r="C32" s="10" t="s">
        <v>72</v>
      </c>
      <c r="D32" s="10"/>
      <c r="E32" s="71">
        <v>396.99221465109196</v>
      </c>
      <c r="F32" s="2"/>
    </row>
    <row r="33" spans="1:7" x14ac:dyDescent="0.35">
      <c r="A33" s="24"/>
      <c r="B33" s="56" t="s">
        <v>94</v>
      </c>
      <c r="C33" s="10" t="s">
        <v>73</v>
      </c>
      <c r="D33" s="10"/>
      <c r="E33" s="71">
        <v>463.15758375960729</v>
      </c>
      <c r="F33" s="2"/>
    </row>
    <row r="34" spans="1:7" x14ac:dyDescent="0.35">
      <c r="A34" s="24"/>
      <c r="B34" s="56" t="s">
        <v>95</v>
      </c>
      <c r="C34" s="10" t="s">
        <v>74</v>
      </c>
      <c r="D34" s="10"/>
      <c r="E34" s="71">
        <v>529.32295286812268</v>
      </c>
      <c r="F34" s="2"/>
    </row>
    <row r="35" spans="1:7" x14ac:dyDescent="0.35">
      <c r="A35" s="67"/>
      <c r="B35" s="3"/>
    </row>
    <row r="36" spans="1:7" x14ac:dyDescent="0.35">
      <c r="A36" s="70" t="s">
        <v>56</v>
      </c>
      <c r="B36" s="56" t="s">
        <v>9</v>
      </c>
      <c r="C36" s="10" t="s">
        <v>3</v>
      </c>
      <c r="D36" s="10"/>
      <c r="E36" s="71"/>
    </row>
    <row r="37" spans="1:7" x14ac:dyDescent="0.35">
      <c r="A37" s="24"/>
      <c r="B37" s="56" t="s">
        <v>96</v>
      </c>
      <c r="C37" s="10" t="s">
        <v>75</v>
      </c>
      <c r="D37" s="10"/>
      <c r="E37" s="71">
        <v>199.73036437246964</v>
      </c>
    </row>
    <row r="38" spans="1:7" x14ac:dyDescent="0.35">
      <c r="A38" s="24"/>
      <c r="B38" s="56" t="s">
        <v>97</v>
      </c>
      <c r="C38" s="10" t="s">
        <v>76</v>
      </c>
      <c r="D38" s="10"/>
      <c r="E38" s="71">
        <v>267.20364372469641</v>
      </c>
    </row>
    <row r="39" spans="1:7" x14ac:dyDescent="0.35">
      <c r="A39" s="24"/>
      <c r="B39" s="56" t="s">
        <v>98</v>
      </c>
      <c r="C39" s="10" t="s">
        <v>77</v>
      </c>
      <c r="D39" s="10"/>
      <c r="E39" s="71">
        <v>337.38609986504724</v>
      </c>
    </row>
    <row r="40" spans="1:7" x14ac:dyDescent="0.35">
      <c r="A40" s="24"/>
      <c r="B40" s="56" t="s">
        <v>99</v>
      </c>
      <c r="C40" s="10" t="s">
        <v>78</v>
      </c>
      <c r="D40" s="10"/>
      <c r="E40" s="71">
        <v>404.8593792172739</v>
      </c>
    </row>
    <row r="41" spans="1:7" x14ac:dyDescent="0.35">
      <c r="A41" s="24"/>
      <c r="B41" s="56" t="s">
        <v>100</v>
      </c>
      <c r="C41" s="10" t="s">
        <v>79</v>
      </c>
      <c r="D41" s="10"/>
      <c r="E41" s="71">
        <v>472.33265856950067</v>
      </c>
    </row>
    <row r="42" spans="1:7" x14ac:dyDescent="0.35">
      <c r="A42" s="24"/>
      <c r="B42" s="56" t="s">
        <v>101</v>
      </c>
      <c r="C42" s="10" t="s">
        <v>80</v>
      </c>
      <c r="D42" s="10"/>
      <c r="E42" s="71">
        <v>607.28906882591104</v>
      </c>
    </row>
    <row r="43" spans="1:7" x14ac:dyDescent="0.35">
      <c r="A43" s="24"/>
      <c r="B43" s="56" t="s">
        <v>102</v>
      </c>
      <c r="C43" s="10" t="s">
        <v>81</v>
      </c>
      <c r="D43" s="10"/>
      <c r="E43" s="71">
        <v>742.23562753036435</v>
      </c>
    </row>
    <row r="44" spans="1:7" x14ac:dyDescent="0.35">
      <c r="A44" s="24"/>
      <c r="B44" s="56" t="s">
        <v>103</v>
      </c>
      <c r="C44" s="10" t="s">
        <v>82</v>
      </c>
      <c r="D44" s="10"/>
      <c r="E44" s="71">
        <v>877.19203778677456</v>
      </c>
    </row>
    <row r="45" spans="1:7" x14ac:dyDescent="0.35">
      <c r="A45" s="24"/>
      <c r="B45" s="56" t="s">
        <v>104</v>
      </c>
      <c r="C45" s="10" t="s">
        <v>83</v>
      </c>
      <c r="D45" s="10"/>
      <c r="E45" s="71">
        <v>1012.148448043185</v>
      </c>
    </row>
    <row r="46" spans="1:7" x14ac:dyDescent="0.35">
      <c r="A46" s="24"/>
      <c r="B46" s="56" t="s">
        <v>105</v>
      </c>
      <c r="C46" s="10" t="s">
        <v>84</v>
      </c>
      <c r="D46" s="10"/>
      <c r="E46" s="71">
        <v>1147.0950067476383</v>
      </c>
    </row>
    <row r="47" spans="1:7" x14ac:dyDescent="0.35">
      <c r="A47" s="24"/>
      <c r="B47" s="56" t="s">
        <v>106</v>
      </c>
      <c r="C47" s="10" t="s">
        <v>85</v>
      </c>
      <c r="D47" s="10"/>
      <c r="E47" s="71">
        <v>1282.0514170040485</v>
      </c>
    </row>
    <row r="48" spans="1:7" x14ac:dyDescent="0.35">
      <c r="A48" s="67"/>
      <c r="B48" s="76" t="s">
        <v>189</v>
      </c>
      <c r="C48" s="77" t="s">
        <v>188</v>
      </c>
      <c r="D48" s="77"/>
      <c r="E48" s="71">
        <v>1417.0040485829959</v>
      </c>
      <c r="F48" s="77"/>
      <c r="G48" s="77"/>
    </row>
    <row r="49" spans="1:7" x14ac:dyDescent="0.35">
      <c r="A49" s="51" t="s">
        <v>153</v>
      </c>
      <c r="B49" s="56" t="s">
        <v>146</v>
      </c>
      <c r="C49" s="10" t="s">
        <v>160</v>
      </c>
      <c r="D49" s="10"/>
      <c r="E49" s="71">
        <v>0</v>
      </c>
    </row>
    <row r="50" spans="1:7" x14ac:dyDescent="0.35">
      <c r="A50" s="24"/>
      <c r="B50" s="56" t="s">
        <v>144</v>
      </c>
      <c r="C50" s="10" t="s">
        <v>150</v>
      </c>
      <c r="D50" s="10"/>
      <c r="E50" s="71">
        <v>0</v>
      </c>
    </row>
    <row r="51" spans="1:7" x14ac:dyDescent="0.35">
      <c r="A51" s="24"/>
      <c r="B51" s="56" t="s">
        <v>42</v>
      </c>
      <c r="C51" s="10" t="s">
        <v>151</v>
      </c>
      <c r="D51" s="10"/>
      <c r="E51" s="71">
        <v>0</v>
      </c>
    </row>
    <row r="52" spans="1:7" x14ac:dyDescent="0.35">
      <c r="A52" s="24"/>
      <c r="B52" s="56" t="s">
        <v>41</v>
      </c>
      <c r="C52" s="10" t="s">
        <v>152</v>
      </c>
      <c r="D52" s="10"/>
      <c r="E52" s="71">
        <v>0</v>
      </c>
    </row>
    <row r="53" spans="1:7" x14ac:dyDescent="0.35">
      <c r="A53" s="24"/>
      <c r="B53" s="56" t="s">
        <v>33</v>
      </c>
      <c r="C53" s="10" t="s">
        <v>154</v>
      </c>
      <c r="D53" s="10"/>
      <c r="E53" s="71">
        <v>0</v>
      </c>
    </row>
    <row r="54" spans="1:7" x14ac:dyDescent="0.35">
      <c r="A54" s="24"/>
      <c r="B54" s="56" t="s">
        <v>138</v>
      </c>
      <c r="C54" s="10" t="s">
        <v>155</v>
      </c>
      <c r="D54" s="10"/>
      <c r="E54" s="71">
        <v>0</v>
      </c>
    </row>
    <row r="55" spans="1:7" x14ac:dyDescent="0.35">
      <c r="A55" s="24"/>
      <c r="B55" s="56" t="s">
        <v>139</v>
      </c>
      <c r="C55" s="10" t="s">
        <v>156</v>
      </c>
      <c r="D55" s="10"/>
      <c r="E55" s="71">
        <v>0</v>
      </c>
    </row>
    <row r="56" spans="1:7" x14ac:dyDescent="0.35">
      <c r="A56" s="24"/>
      <c r="B56" s="56" t="s">
        <v>147</v>
      </c>
      <c r="C56" s="10" t="s">
        <v>157</v>
      </c>
      <c r="D56" s="10"/>
      <c r="E56" s="71">
        <v>0</v>
      </c>
    </row>
    <row r="57" spans="1:7" x14ac:dyDescent="0.35">
      <c r="A57" s="24"/>
      <c r="B57" s="56" t="s">
        <v>148</v>
      </c>
      <c r="C57" s="10" t="s">
        <v>158</v>
      </c>
      <c r="D57" s="10"/>
      <c r="E57" s="71">
        <v>0</v>
      </c>
    </row>
    <row r="58" spans="1:7" x14ac:dyDescent="0.35">
      <c r="A58" s="24"/>
      <c r="B58" s="56" t="s">
        <v>149</v>
      </c>
      <c r="C58" s="10" t="s">
        <v>159</v>
      </c>
      <c r="D58" s="10"/>
      <c r="E58" s="71">
        <v>0</v>
      </c>
    </row>
    <row r="59" spans="1:7" x14ac:dyDescent="0.35">
      <c r="A59" s="67"/>
      <c r="B59" s="57"/>
    </row>
    <row r="60" spans="1:7" x14ac:dyDescent="0.35">
      <c r="A60" s="70" t="s">
        <v>25</v>
      </c>
      <c r="B60" s="56" t="s">
        <v>146</v>
      </c>
      <c r="C60" s="10" t="s">
        <v>3</v>
      </c>
      <c r="D60" s="10"/>
      <c r="E60" s="71">
        <v>0</v>
      </c>
    </row>
    <row r="61" spans="1:7" ht="15" thickBot="1" x14ac:dyDescent="0.4">
      <c r="A61" s="25"/>
      <c r="B61" s="59" t="s">
        <v>144</v>
      </c>
      <c r="C61" s="26" t="s">
        <v>107</v>
      </c>
      <c r="D61" s="26"/>
      <c r="E61" s="78">
        <v>0</v>
      </c>
      <c r="F61" s="30"/>
      <c r="G61" s="30"/>
    </row>
  </sheetData>
  <sheetProtection algorithmName="SHA-512" hashValue="LaEqE324w50x2leHfDo4AIy9MFHrDNIcSybANBwhIsRWc2EQwHv452ZAt+NWcxv40mQjXVkfjxNY4Bd1QxfWwg==" saltValue="mSYee0/IcZxuZq85DMRNIA==" spinCount="100000" sheet="1" objects="1" scenarios="1"/>
  <phoneticPr fontId="2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2F6C8-1FFB-46AF-B3C8-9E0563A2AA37}">
  <sheetPr codeName="Sheet5"/>
  <dimension ref="A1:W63"/>
  <sheetViews>
    <sheetView topLeftCell="A5" zoomScale="60" zoomScaleNormal="60" workbookViewId="0">
      <selection activeCell="A5" sqref="A1:XFD1048576"/>
    </sheetView>
  </sheetViews>
  <sheetFormatPr defaultColWidth="9.1796875" defaultRowHeight="15.5" x14ac:dyDescent="0.35"/>
  <cols>
    <col min="1" max="1" width="63.453125" style="33" customWidth="1"/>
    <col min="2" max="2" width="49.7265625" style="33" customWidth="1"/>
    <col min="3" max="3" width="48" style="33" customWidth="1"/>
    <col min="4" max="4" width="46.81640625" style="33" customWidth="1"/>
    <col min="5" max="5" width="48.81640625" style="33" customWidth="1"/>
    <col min="6" max="6" width="45.90625" style="33" bestFit="1" customWidth="1"/>
    <col min="7" max="7" width="36" style="33" bestFit="1" customWidth="1"/>
    <col min="8" max="8" width="44.90625" style="33" customWidth="1"/>
    <col min="9" max="10" width="36" style="33" bestFit="1" customWidth="1"/>
    <col min="11" max="11" width="5.26953125" style="33" customWidth="1"/>
    <col min="12" max="12" width="37.81640625" style="33" customWidth="1"/>
    <col min="13" max="13" width="9.1796875" style="33"/>
    <col min="14" max="14" width="45.81640625" style="32" customWidth="1"/>
    <col min="15" max="15" width="35" style="33" bestFit="1" customWidth="1"/>
    <col min="16" max="16" width="30.54296875" style="33" bestFit="1" customWidth="1"/>
    <col min="17" max="17" width="40.453125" style="33" bestFit="1" customWidth="1"/>
    <col min="18" max="18" width="48.453125" style="33" customWidth="1"/>
    <col min="19" max="19" width="9.1796875" style="33"/>
    <col min="20" max="20" width="30.08984375" style="33" customWidth="1"/>
    <col min="21" max="21" width="37.81640625" style="33" bestFit="1" customWidth="1"/>
    <col min="22" max="22" width="14.453125" style="33" bestFit="1" customWidth="1"/>
    <col min="23" max="23" width="43" style="33" bestFit="1" customWidth="1"/>
    <col min="24" max="16384" width="9.1796875" style="33"/>
  </cols>
  <sheetData>
    <row r="1" spans="1:21" ht="16" thickBot="1" x14ac:dyDescent="0.4">
      <c r="A1" s="134" t="s">
        <v>111</v>
      </c>
      <c r="B1" s="134"/>
      <c r="C1" s="134"/>
      <c r="D1" s="134"/>
      <c r="E1" s="134"/>
      <c r="N1" s="36" t="s">
        <v>163</v>
      </c>
      <c r="O1" s="39">
        <v>2</v>
      </c>
      <c r="P1" s="39">
        <v>3</v>
      </c>
      <c r="Q1" s="39">
        <v>4</v>
      </c>
      <c r="R1" s="39">
        <v>5</v>
      </c>
    </row>
    <row r="2" spans="1:21" ht="16" thickBot="1" x14ac:dyDescent="0.4">
      <c r="A2" s="33" t="s">
        <v>112</v>
      </c>
      <c r="B2" s="33" t="s">
        <v>113</v>
      </c>
      <c r="G2" s="33" t="s">
        <v>129</v>
      </c>
      <c r="L2" s="34" t="s">
        <v>117</v>
      </c>
      <c r="O2" s="38" t="s">
        <v>3</v>
      </c>
      <c r="P2" s="38" t="s">
        <v>141</v>
      </c>
      <c r="Q2" s="38" t="s">
        <v>116</v>
      </c>
      <c r="R2" s="38" t="s">
        <v>117</v>
      </c>
    </row>
    <row r="3" spans="1:21" x14ac:dyDescent="0.35">
      <c r="A3" s="33" t="s">
        <v>3</v>
      </c>
      <c r="B3" s="33" t="s">
        <v>92</v>
      </c>
      <c r="C3" s="33" t="s">
        <v>3</v>
      </c>
      <c r="D3" s="33" t="s">
        <v>26</v>
      </c>
      <c r="E3" s="33" t="s">
        <v>16</v>
      </c>
      <c r="G3" s="33" t="s">
        <v>3</v>
      </c>
      <c r="H3" s="33" t="s">
        <v>141</v>
      </c>
      <c r="I3" s="33" t="s">
        <v>116</v>
      </c>
      <c r="J3" s="33" t="s">
        <v>117</v>
      </c>
      <c r="L3" s="35" t="e" cm="1">
        <f t="array" aca="1" ref="L3" ca="1">OFFSET(Ref!$G$3,1,MATCH(Configurator!$D$7,Ref!$G$3:$J$3,0)-1,COUNTA(OFFSET(Ref!$G$3,1,MATCH(Configurator!$D$7,Ref!$G$3:$J$3,0)-1,9,1)),1)</f>
        <v>#N/A</v>
      </c>
    </row>
    <row r="4" spans="1:21" x14ac:dyDescent="0.35">
      <c r="A4" s="33" t="s">
        <v>141</v>
      </c>
      <c r="B4" s="33" t="s">
        <v>92</v>
      </c>
      <c r="D4" s="33" t="s">
        <v>27</v>
      </c>
      <c r="E4" s="33" t="s">
        <v>30</v>
      </c>
      <c r="G4" s="33" t="s">
        <v>3</v>
      </c>
      <c r="H4" s="33" t="s">
        <v>179</v>
      </c>
      <c r="I4" s="33" t="s">
        <v>180</v>
      </c>
      <c r="J4" s="33" t="s">
        <v>69</v>
      </c>
    </row>
    <row r="5" spans="1:21" x14ac:dyDescent="0.35">
      <c r="A5" s="33" t="s">
        <v>116</v>
      </c>
      <c r="B5" s="33" t="s">
        <v>114</v>
      </c>
      <c r="D5" s="33" t="s">
        <v>28</v>
      </c>
      <c r="H5" s="33" t="s">
        <v>180</v>
      </c>
      <c r="I5" s="33" t="s">
        <v>181</v>
      </c>
      <c r="N5" s="38" t="s">
        <v>201</v>
      </c>
      <c r="O5" s="33" t="s">
        <v>3</v>
      </c>
      <c r="P5" s="33" t="s">
        <v>3</v>
      </c>
      <c r="Q5" s="33" t="s">
        <v>26</v>
      </c>
      <c r="R5" s="33" t="s">
        <v>30</v>
      </c>
    </row>
    <row r="6" spans="1:21" x14ac:dyDescent="0.35">
      <c r="A6" s="33" t="s">
        <v>117</v>
      </c>
      <c r="B6" s="33" t="s">
        <v>115</v>
      </c>
      <c r="D6" s="33" t="s">
        <v>29</v>
      </c>
      <c r="H6" s="33" t="s">
        <v>181</v>
      </c>
      <c r="I6" s="33" t="s">
        <v>182</v>
      </c>
      <c r="N6" s="38" t="s">
        <v>202</v>
      </c>
      <c r="Q6" s="33" t="s">
        <v>27</v>
      </c>
    </row>
    <row r="7" spans="1:21" x14ac:dyDescent="0.35">
      <c r="A7" s="33" t="s">
        <v>119</v>
      </c>
      <c r="B7" s="33" t="s">
        <v>118</v>
      </c>
      <c r="D7" s="33" t="s">
        <v>18</v>
      </c>
      <c r="H7" s="33" t="s">
        <v>182</v>
      </c>
      <c r="I7" s="33" t="s">
        <v>183</v>
      </c>
      <c r="N7" s="38" t="s">
        <v>203</v>
      </c>
      <c r="Q7" s="33" t="s">
        <v>28</v>
      </c>
    </row>
    <row r="8" spans="1:21" x14ac:dyDescent="0.35">
      <c r="H8" s="33" t="s">
        <v>183</v>
      </c>
      <c r="I8" s="33" t="s">
        <v>184</v>
      </c>
      <c r="N8" s="38" t="s">
        <v>204</v>
      </c>
      <c r="Q8" s="33" t="s">
        <v>29</v>
      </c>
    </row>
    <row r="9" spans="1:21" x14ac:dyDescent="0.35">
      <c r="H9" s="33" t="s">
        <v>184</v>
      </c>
      <c r="N9" s="38" t="s">
        <v>205</v>
      </c>
      <c r="Q9" s="33" t="s">
        <v>18</v>
      </c>
    </row>
    <row r="10" spans="1:21" x14ac:dyDescent="0.35">
      <c r="N10" s="38" t="s">
        <v>193</v>
      </c>
      <c r="O10" s="33" t="s">
        <v>3</v>
      </c>
      <c r="P10" s="33" t="s">
        <v>3</v>
      </c>
      <c r="Q10" s="33" t="s">
        <v>26</v>
      </c>
      <c r="R10" s="33" t="s">
        <v>16</v>
      </c>
    </row>
    <row r="11" spans="1:21" x14ac:dyDescent="0.35">
      <c r="A11" s="33" t="s">
        <v>120</v>
      </c>
      <c r="B11" s="33">
        <f>IF(Configurator!$D$16=Ref!A12,1,IF(Configurator!$D$16=Ref!A15,1,IF(Configurator!$D$16=Ref!A18,1,2)))</f>
        <v>2</v>
      </c>
      <c r="C11" s="33" t="s">
        <v>125</v>
      </c>
      <c r="D11" s="33" t="s">
        <v>126</v>
      </c>
      <c r="N11" s="38" t="s">
        <v>194</v>
      </c>
      <c r="Q11" s="33" t="s">
        <v>27</v>
      </c>
      <c r="U11" s="36" t="s">
        <v>164</v>
      </c>
    </row>
    <row r="12" spans="1:21" x14ac:dyDescent="0.35">
      <c r="A12" s="33" t="s">
        <v>127</v>
      </c>
      <c r="B12" s="13" t="s">
        <v>225</v>
      </c>
      <c r="C12" s="33" t="s">
        <v>121</v>
      </c>
      <c r="D12" s="33" t="s">
        <v>122</v>
      </c>
      <c r="G12" s="36" t="s">
        <v>165</v>
      </c>
      <c r="N12" s="38" t="s">
        <v>195</v>
      </c>
      <c r="Q12" s="33" t="s">
        <v>28</v>
      </c>
      <c r="S12" s="33">
        <v>1</v>
      </c>
      <c r="T12" s="33" t="str">
        <f>S12&amp;" "&amp;$U$35</f>
        <v>1 0</v>
      </c>
      <c r="U12" s="35" t="e">
        <f>IF(VLOOKUP(T12,$N$5:$R$24,$V$36,0)=0,"",(VLOOKUP(T12,$N$5:$R$24,$V$36,0)))</f>
        <v>#N/A</v>
      </c>
    </row>
    <row r="13" spans="1:21" x14ac:dyDescent="0.35">
      <c r="A13" s="33" t="s">
        <v>128</v>
      </c>
      <c r="B13" s="10" t="s">
        <v>226</v>
      </c>
      <c r="C13" s="33" t="s">
        <v>122</v>
      </c>
      <c r="D13" s="33" t="s">
        <v>31</v>
      </c>
      <c r="G13" s="33" t="s">
        <v>0</v>
      </c>
      <c r="H13" s="33" t="s">
        <v>142</v>
      </c>
      <c r="I13" s="33" t="s">
        <v>143</v>
      </c>
      <c r="J13" s="33" t="s">
        <v>191</v>
      </c>
      <c r="L13" s="35" t="e" cm="1">
        <f t="array" aca="1" ref="L13" ca="1">OFFSET(Ref!$G$13,1,MATCH(Configurator!$D$6,Ref!$G$13:$J$13,0)-1,COUNTA(OFFSET(Ref!$G$13,1,MATCH(Configurator!$D$6,Ref!$G$13:$J$13,0)-1,10,1)),1)</f>
        <v>#N/A</v>
      </c>
      <c r="N13" s="38" t="s">
        <v>196</v>
      </c>
      <c r="Q13" s="33" t="s">
        <v>29</v>
      </c>
      <c r="S13" s="33">
        <v>2</v>
      </c>
      <c r="T13" s="33" t="str">
        <f t="shared" ref="T13:T16" si="0">S13&amp;" "&amp;$U$35</f>
        <v>2 0</v>
      </c>
      <c r="U13" s="35" t="e">
        <f t="shared" ref="U13:U16" si="1">IF(VLOOKUP(T13,$N$5:$R$24,$V$36,0)=0,"",(VLOOKUP(T13,$N$5:$R$24,$V$36,0)))</f>
        <v>#N/A</v>
      </c>
    </row>
    <row r="14" spans="1:21" x14ac:dyDescent="0.35">
      <c r="A14" s="33" t="s">
        <v>130</v>
      </c>
      <c r="B14" s="10" t="s">
        <v>227</v>
      </c>
      <c r="C14" s="33" t="s">
        <v>31</v>
      </c>
      <c r="D14" s="33" t="s">
        <v>123</v>
      </c>
      <c r="G14" s="33" t="s">
        <v>160</v>
      </c>
      <c r="H14" s="33" t="s">
        <v>160</v>
      </c>
      <c r="I14" s="33" t="s">
        <v>160</v>
      </c>
      <c r="J14" s="33" t="s">
        <v>160</v>
      </c>
      <c r="N14" s="38" t="s">
        <v>197</v>
      </c>
      <c r="Q14" s="33" t="s">
        <v>18</v>
      </c>
      <c r="S14" s="33">
        <v>3</v>
      </c>
      <c r="T14" s="33" t="str">
        <f t="shared" si="0"/>
        <v>3 0</v>
      </c>
      <c r="U14" s="35" t="e">
        <f t="shared" si="1"/>
        <v>#N/A</v>
      </c>
    </row>
    <row r="15" spans="1:21" x14ac:dyDescent="0.35">
      <c r="A15" s="33" t="s">
        <v>131</v>
      </c>
      <c r="B15" s="10" t="s">
        <v>228</v>
      </c>
      <c r="C15" s="33" t="s">
        <v>123</v>
      </c>
      <c r="G15" s="33" t="s">
        <v>150</v>
      </c>
      <c r="I15" s="33" t="s">
        <v>150</v>
      </c>
      <c r="J15" s="33" t="s">
        <v>150</v>
      </c>
      <c r="N15" s="38" t="s">
        <v>209</v>
      </c>
      <c r="O15" s="33" t="s">
        <v>3</v>
      </c>
      <c r="P15" s="33" t="s">
        <v>3</v>
      </c>
      <c r="Q15" s="33" t="s">
        <v>26</v>
      </c>
      <c r="R15" s="33" t="s">
        <v>16</v>
      </c>
      <c r="S15" s="33">
        <v>4</v>
      </c>
      <c r="T15" s="33" t="str">
        <f t="shared" si="0"/>
        <v>4 0</v>
      </c>
      <c r="U15" s="35" t="e">
        <f t="shared" si="1"/>
        <v>#N/A</v>
      </c>
    </row>
    <row r="16" spans="1:21" x14ac:dyDescent="0.35">
      <c r="A16" s="33" t="s">
        <v>132</v>
      </c>
      <c r="B16" s="10" t="s">
        <v>229</v>
      </c>
      <c r="G16" s="33" t="s">
        <v>151</v>
      </c>
      <c r="I16" s="33" t="s">
        <v>151</v>
      </c>
      <c r="J16" s="33" t="s">
        <v>151</v>
      </c>
      <c r="N16" s="38" t="s">
        <v>210</v>
      </c>
      <c r="Q16" s="33" t="s">
        <v>27</v>
      </c>
      <c r="S16" s="33">
        <v>5</v>
      </c>
      <c r="T16" s="33" t="str">
        <f t="shared" si="0"/>
        <v>5 0</v>
      </c>
      <c r="U16" s="35" t="e">
        <f t="shared" si="1"/>
        <v>#N/A</v>
      </c>
    </row>
    <row r="17" spans="1:18" x14ac:dyDescent="0.35">
      <c r="A17" s="33" t="s">
        <v>133</v>
      </c>
      <c r="B17" s="10" t="s">
        <v>230</v>
      </c>
      <c r="G17" s="33" t="s">
        <v>152</v>
      </c>
      <c r="I17" s="33" t="s">
        <v>152</v>
      </c>
      <c r="J17" s="33" t="s">
        <v>152</v>
      </c>
      <c r="N17" s="38" t="s">
        <v>211</v>
      </c>
      <c r="Q17" s="33" t="s">
        <v>28</v>
      </c>
    </row>
    <row r="18" spans="1:18" x14ac:dyDescent="0.35">
      <c r="A18" s="37" t="s">
        <v>190</v>
      </c>
      <c r="B18" s="10" t="s">
        <v>123</v>
      </c>
      <c r="G18" s="33" t="s">
        <v>154</v>
      </c>
      <c r="I18" s="33" t="s">
        <v>154</v>
      </c>
      <c r="J18" s="33" t="s">
        <v>154</v>
      </c>
      <c r="N18" s="38" t="s">
        <v>212</v>
      </c>
      <c r="Q18" s="33" t="s">
        <v>29</v>
      </c>
    </row>
    <row r="19" spans="1:18" x14ac:dyDescent="0.35">
      <c r="B19" s="10" t="s">
        <v>123</v>
      </c>
      <c r="G19" s="33" t="s">
        <v>155</v>
      </c>
      <c r="I19" s="33" t="s">
        <v>155</v>
      </c>
      <c r="J19" s="33" t="s">
        <v>155</v>
      </c>
      <c r="N19" s="38" t="s">
        <v>213</v>
      </c>
      <c r="Q19" s="33" t="s">
        <v>18</v>
      </c>
    </row>
    <row r="20" spans="1:18" x14ac:dyDescent="0.35">
      <c r="B20" s="10" t="s">
        <v>231</v>
      </c>
      <c r="G20" s="33" t="s">
        <v>156</v>
      </c>
      <c r="I20" s="33" t="s">
        <v>156</v>
      </c>
      <c r="J20" s="33" t="s">
        <v>156</v>
      </c>
      <c r="N20" s="38" t="s">
        <v>217</v>
      </c>
      <c r="O20" s="33" t="s">
        <v>3</v>
      </c>
      <c r="P20" s="33" t="s">
        <v>3</v>
      </c>
      <c r="Q20" s="33" t="s">
        <v>26</v>
      </c>
      <c r="R20" s="33" t="s">
        <v>16</v>
      </c>
    </row>
    <row r="21" spans="1:18" x14ac:dyDescent="0.35">
      <c r="B21" s="10" t="s">
        <v>232</v>
      </c>
      <c r="N21" s="38" t="s">
        <v>218</v>
      </c>
      <c r="Q21" s="33" t="s">
        <v>27</v>
      </c>
    </row>
    <row r="22" spans="1:18" x14ac:dyDescent="0.35">
      <c r="B22" s="10" t="s">
        <v>123</v>
      </c>
      <c r="N22" s="38" t="s">
        <v>219</v>
      </c>
      <c r="Q22" s="33" t="s">
        <v>28</v>
      </c>
    </row>
    <row r="23" spans="1:18" x14ac:dyDescent="0.35">
      <c r="B23" s="10" t="s">
        <v>123</v>
      </c>
      <c r="N23" s="38" t="s">
        <v>220</v>
      </c>
      <c r="Q23" s="33" t="s">
        <v>29</v>
      </c>
    </row>
    <row r="24" spans="1:18" x14ac:dyDescent="0.35">
      <c r="B24" s="10" t="s">
        <v>233</v>
      </c>
      <c r="G24" s="33">
        <v>1</v>
      </c>
      <c r="H24" s="33">
        <v>2</v>
      </c>
      <c r="I24" s="33">
        <v>3</v>
      </c>
      <c r="J24" s="33">
        <v>4</v>
      </c>
      <c r="N24" s="38" t="s">
        <v>221</v>
      </c>
      <c r="Q24" s="33" t="s">
        <v>18</v>
      </c>
    </row>
    <row r="25" spans="1:18" x14ac:dyDescent="0.35">
      <c r="A25" s="33" t="s">
        <v>140</v>
      </c>
      <c r="B25" s="10" t="s">
        <v>234</v>
      </c>
      <c r="G25" s="36" t="s">
        <v>162</v>
      </c>
      <c r="L25" s="33" t="e">
        <f>MATCH(U35,G26:J26,0)</f>
        <v>#N/A</v>
      </c>
      <c r="N25" s="38"/>
    </row>
    <row r="26" spans="1:18" x14ac:dyDescent="0.35">
      <c r="B26" s="10" t="s">
        <v>123</v>
      </c>
      <c r="G26" s="33" t="s">
        <v>0</v>
      </c>
      <c r="H26" s="33" t="s">
        <v>142</v>
      </c>
      <c r="I26" s="33" t="s">
        <v>143</v>
      </c>
      <c r="J26" s="33" t="s">
        <v>191</v>
      </c>
      <c r="N26" s="38"/>
    </row>
    <row r="27" spans="1:18" x14ac:dyDescent="0.35">
      <c r="B27" s="16" t="s">
        <v>123</v>
      </c>
      <c r="G27" s="33" t="s">
        <v>3</v>
      </c>
      <c r="H27" s="33" t="s">
        <v>3</v>
      </c>
      <c r="I27" s="33" t="s">
        <v>3</v>
      </c>
      <c r="J27" s="33" t="s">
        <v>3</v>
      </c>
      <c r="L27" s="33" t="e">
        <f>IF(HLOOKUP($L$25,$G$24:$J$38,4,0)=0,"",HLOOKUP($L$25,$G$24:$J$38,4,0))</f>
        <v>#N/A</v>
      </c>
      <c r="N27" s="38"/>
    </row>
    <row r="28" spans="1:18" x14ac:dyDescent="0.35">
      <c r="G28" s="33" t="s">
        <v>75</v>
      </c>
      <c r="I28" s="33" t="s">
        <v>75</v>
      </c>
      <c r="J28" s="33" t="s">
        <v>75</v>
      </c>
      <c r="L28" s="33" t="e">
        <f>IF(HLOOKUP($L$25,$G$24:$J$38,5,0)=0,"",HLOOKUP($L$25,$G$24:$J$38,5,0))</f>
        <v>#N/A</v>
      </c>
    </row>
    <row r="29" spans="1:18" x14ac:dyDescent="0.35">
      <c r="G29" s="33" t="s">
        <v>76</v>
      </c>
      <c r="I29" s="33" t="s">
        <v>76</v>
      </c>
      <c r="J29" s="33" t="s">
        <v>76</v>
      </c>
      <c r="L29" s="33" t="e">
        <f>IF(HLOOKUP($L$25,$G$24:$J$38,6,0)=0,"",HLOOKUP($L$25,$G$24:$J$38,6,0))</f>
        <v>#N/A</v>
      </c>
      <c r="N29" s="36" t="s">
        <v>166</v>
      </c>
      <c r="O29" s="39">
        <v>2</v>
      </c>
      <c r="P29" s="39">
        <v>3</v>
      </c>
      <c r="Q29" s="39">
        <v>4</v>
      </c>
      <c r="R29" s="39">
        <v>5</v>
      </c>
    </row>
    <row r="30" spans="1:18" x14ac:dyDescent="0.35">
      <c r="A30" s="33" t="s">
        <v>0</v>
      </c>
      <c r="B30" s="33" t="s">
        <v>142</v>
      </c>
      <c r="C30" s="33" t="s">
        <v>143</v>
      </c>
      <c r="D30" s="33" t="s">
        <v>191</v>
      </c>
      <c r="G30" s="33" t="s">
        <v>77</v>
      </c>
      <c r="I30" s="33" t="s">
        <v>77</v>
      </c>
      <c r="J30" s="33" t="s">
        <v>77</v>
      </c>
      <c r="L30" s="33" t="e">
        <f>IF(HLOOKUP($L$25,$G$24:$J$38,7,0)=0,"",HLOOKUP($L$25,$G$24:$J$38,7,0))</f>
        <v>#N/A</v>
      </c>
      <c r="O30" s="38" t="s">
        <v>3</v>
      </c>
      <c r="P30" s="38" t="s">
        <v>141</v>
      </c>
      <c r="Q30" s="38" t="s">
        <v>116</v>
      </c>
      <c r="R30" s="38" t="s">
        <v>117</v>
      </c>
    </row>
    <row r="31" spans="1:18" x14ac:dyDescent="0.35">
      <c r="A31" s="33" t="s">
        <v>160</v>
      </c>
      <c r="B31" s="33" t="s">
        <v>3</v>
      </c>
      <c r="C31" s="33" t="s">
        <v>3</v>
      </c>
      <c r="D31" s="33" t="s">
        <v>160</v>
      </c>
      <c r="G31" s="33" t="s">
        <v>78</v>
      </c>
      <c r="I31" s="33" t="s">
        <v>78</v>
      </c>
      <c r="J31" s="33" t="s">
        <v>78</v>
      </c>
      <c r="L31" s="33" t="e">
        <f>IF(HLOOKUP($L$25,$G$24:$J$38,8,0)=0,"",HLOOKUP($L$25,$G$24:$J$38,8,0))</f>
        <v>#N/A</v>
      </c>
      <c r="N31" s="38" t="s">
        <v>193</v>
      </c>
      <c r="O31" s="33" t="s">
        <v>3</v>
      </c>
      <c r="P31" s="33" t="s">
        <v>3</v>
      </c>
      <c r="Q31" s="33" t="s">
        <v>3</v>
      </c>
      <c r="R31" s="33" t="s">
        <v>3</v>
      </c>
    </row>
    <row r="32" spans="1:18" x14ac:dyDescent="0.35">
      <c r="A32" s="33" t="s">
        <v>150</v>
      </c>
      <c r="C32" s="33" t="s">
        <v>236</v>
      </c>
      <c r="D32" s="33" t="s">
        <v>150</v>
      </c>
      <c r="G32" s="33" t="s">
        <v>79</v>
      </c>
      <c r="I32" s="33" t="s">
        <v>79</v>
      </c>
      <c r="J32" s="33" t="s">
        <v>79</v>
      </c>
      <c r="L32" s="33" t="e">
        <f>IF(HLOOKUP($L$25,$G$24:$J$38,9,0)=0,"",HLOOKUP($L$25,$G$24:$J$38,9,0))</f>
        <v>#N/A</v>
      </c>
      <c r="N32" s="38" t="s">
        <v>194</v>
      </c>
      <c r="P32" s="33" t="s">
        <v>236</v>
      </c>
      <c r="Q32" s="33" t="s">
        <v>236</v>
      </c>
      <c r="R32" s="33" t="s">
        <v>236</v>
      </c>
    </row>
    <row r="33" spans="1:23" x14ac:dyDescent="0.35">
      <c r="A33" s="33" t="s">
        <v>151</v>
      </c>
      <c r="C33" s="33" t="s">
        <v>235</v>
      </c>
      <c r="D33" s="33" t="s">
        <v>151</v>
      </c>
      <c r="G33" s="33" t="s">
        <v>80</v>
      </c>
      <c r="I33" s="33" t="s">
        <v>80</v>
      </c>
      <c r="J33" s="33" t="s">
        <v>80</v>
      </c>
      <c r="L33" s="33" t="e">
        <f>IF(HLOOKUP($L$25,$G$24:$J$38,10,0)=0,"",HLOOKUP($L$25,$G$24:$J$38,10,0))</f>
        <v>#N/A</v>
      </c>
      <c r="N33" s="38" t="s">
        <v>195</v>
      </c>
      <c r="P33" s="33" t="s">
        <v>235</v>
      </c>
      <c r="Q33" s="33" t="s">
        <v>235</v>
      </c>
      <c r="R33" s="33" t="s">
        <v>235</v>
      </c>
    </row>
    <row r="34" spans="1:23" x14ac:dyDescent="0.35">
      <c r="A34" s="33" t="s">
        <v>152</v>
      </c>
      <c r="C34" s="33" t="s">
        <v>58</v>
      </c>
      <c r="D34" s="33" t="s">
        <v>152</v>
      </c>
      <c r="G34" s="33" t="s">
        <v>81</v>
      </c>
      <c r="I34" s="33" t="s">
        <v>81</v>
      </c>
      <c r="J34" s="33" t="s">
        <v>81</v>
      </c>
      <c r="L34" s="33" t="e">
        <f>IF(HLOOKUP($L$25,$G$24:$J$38,11,0)=0,"",HLOOKUP($L$25,$G$24:$J$38,11,0))</f>
        <v>#N/A</v>
      </c>
      <c r="N34" s="38" t="s">
        <v>196</v>
      </c>
      <c r="P34" s="33" t="s">
        <v>58</v>
      </c>
      <c r="Q34" s="33" t="s">
        <v>58</v>
      </c>
      <c r="R34" s="33" t="s">
        <v>58</v>
      </c>
    </row>
    <row r="35" spans="1:23" x14ac:dyDescent="0.35">
      <c r="A35" s="33" t="s">
        <v>154</v>
      </c>
      <c r="C35" s="33" t="s">
        <v>59</v>
      </c>
      <c r="D35" s="33" t="s">
        <v>154</v>
      </c>
      <c r="G35" s="33" t="s">
        <v>82</v>
      </c>
      <c r="I35" s="33" t="s">
        <v>82</v>
      </c>
      <c r="J35" s="33" t="s">
        <v>82</v>
      </c>
      <c r="L35" s="33" t="e">
        <f>IF(HLOOKUP($L$25,$G$24:$J$38,12,0)=0,"",HLOOKUP($L$25,$G$24:$J$38,12,0))</f>
        <v>#N/A</v>
      </c>
      <c r="N35" s="38" t="s">
        <v>197</v>
      </c>
      <c r="P35" s="33" t="s">
        <v>59</v>
      </c>
      <c r="Q35" s="33" t="s">
        <v>59</v>
      </c>
      <c r="R35" s="33" t="s">
        <v>59</v>
      </c>
      <c r="U35" s="33">
        <f>Configurator!D6</f>
        <v>0</v>
      </c>
    </row>
    <row r="36" spans="1:23" x14ac:dyDescent="0.35">
      <c r="A36" s="33" t="s">
        <v>155</v>
      </c>
      <c r="C36" s="33" t="s">
        <v>60</v>
      </c>
      <c r="D36" s="33" t="s">
        <v>155</v>
      </c>
      <c r="G36" s="33" t="s">
        <v>83</v>
      </c>
      <c r="I36" s="33" t="s">
        <v>83</v>
      </c>
      <c r="J36" s="33" t="s">
        <v>83</v>
      </c>
      <c r="L36" s="33" t="e">
        <f>IF(HLOOKUP($L$25,$G$24:$J$38,13,0)=0,"",HLOOKUP($L$25,$G$24:$J$38,13,0))</f>
        <v>#N/A</v>
      </c>
      <c r="N36" s="38" t="s">
        <v>198</v>
      </c>
      <c r="P36" s="33" t="s">
        <v>60</v>
      </c>
      <c r="Q36" s="33" t="s">
        <v>60</v>
      </c>
      <c r="R36" s="33" t="s">
        <v>60</v>
      </c>
      <c r="U36" s="33">
        <f>Configurator!D7</f>
        <v>0</v>
      </c>
      <c r="V36" s="33" t="e">
        <f>MATCH(U36,O30:R30,0)+1</f>
        <v>#N/A</v>
      </c>
    </row>
    <row r="37" spans="1:23" x14ac:dyDescent="0.35">
      <c r="A37" s="33" t="s">
        <v>156</v>
      </c>
      <c r="C37" s="33" t="s">
        <v>61</v>
      </c>
      <c r="D37" s="33" t="s">
        <v>156</v>
      </c>
      <c r="G37" s="33" t="s">
        <v>84</v>
      </c>
      <c r="I37" s="33" t="s">
        <v>84</v>
      </c>
      <c r="J37" s="33" t="s">
        <v>84</v>
      </c>
      <c r="L37" s="33" t="e">
        <f>IF(HLOOKUP($L$25,$G$24:$J$38,14,0)=0,"",HLOOKUP($L$25,$G$24:$J$38,14,0))</f>
        <v>#N/A</v>
      </c>
      <c r="N37" s="38" t="s">
        <v>199</v>
      </c>
      <c r="P37" s="33" t="s">
        <v>61</v>
      </c>
      <c r="Q37" s="33" t="s">
        <v>61</v>
      </c>
      <c r="R37" s="33" t="s">
        <v>61</v>
      </c>
    </row>
    <row r="38" spans="1:23" x14ac:dyDescent="0.35">
      <c r="A38" s="33" t="s">
        <v>62</v>
      </c>
      <c r="C38" s="33" t="s">
        <v>62</v>
      </c>
      <c r="D38" s="33" t="s">
        <v>62</v>
      </c>
      <c r="G38" s="33" t="s">
        <v>85</v>
      </c>
      <c r="I38" s="33" t="s">
        <v>85</v>
      </c>
      <c r="J38" s="33" t="s">
        <v>85</v>
      </c>
      <c r="L38" s="33" t="e">
        <f>IF(HLOOKUP($L$25,$G$24:$J$38,15,0)=0,"",HLOOKUP($L$25,$G$24:$J$38,15,0))</f>
        <v>#N/A</v>
      </c>
      <c r="N38" s="38" t="s">
        <v>200</v>
      </c>
      <c r="P38" s="33" t="s">
        <v>62</v>
      </c>
      <c r="Q38" s="33" t="s">
        <v>62</v>
      </c>
      <c r="R38" s="33" t="s">
        <v>62</v>
      </c>
    </row>
    <row r="39" spans="1:23" x14ac:dyDescent="0.35">
      <c r="N39" s="38" t="s">
        <v>201</v>
      </c>
      <c r="O39" s="33" t="s">
        <v>3</v>
      </c>
      <c r="P39" s="33" t="s">
        <v>3</v>
      </c>
      <c r="Q39" s="33" t="s">
        <v>3</v>
      </c>
      <c r="R39" s="33" t="s">
        <v>3</v>
      </c>
      <c r="U39" s="135" t="s">
        <v>192</v>
      </c>
      <c r="V39" s="135"/>
      <c r="W39" s="135"/>
    </row>
    <row r="40" spans="1:23" x14ac:dyDescent="0.35">
      <c r="N40" s="38" t="s">
        <v>202</v>
      </c>
    </row>
    <row r="41" spans="1:23" x14ac:dyDescent="0.35">
      <c r="N41" s="38" t="s">
        <v>203</v>
      </c>
      <c r="U41" s="36" t="s">
        <v>167</v>
      </c>
      <c r="V41" s="36" t="s">
        <v>55</v>
      </c>
      <c r="W41" s="1" t="s">
        <v>153</v>
      </c>
    </row>
    <row r="42" spans="1:23" x14ac:dyDescent="0.35">
      <c r="N42" s="38" t="s">
        <v>204</v>
      </c>
      <c r="S42" s="33">
        <v>1</v>
      </c>
      <c r="T42" s="33" t="str">
        <f>S42&amp;" "&amp;$U$35</f>
        <v>1 0</v>
      </c>
      <c r="U42" s="35" t="e">
        <f>IF(VLOOKUP(T42,$N$31:$R$62,$V$36,0)=0,"",(VLOOKUP(T42,$N$31:$R$62,$V$36,0)))</f>
        <v>#N/A</v>
      </c>
      <c r="V42" t="s">
        <v>179</v>
      </c>
      <c r="W42" t="s">
        <v>160</v>
      </c>
    </row>
    <row r="43" spans="1:23" x14ac:dyDescent="0.35">
      <c r="N43" s="38" t="s">
        <v>205</v>
      </c>
      <c r="S43" s="33">
        <v>2</v>
      </c>
      <c r="T43" s="33" t="str">
        <f t="shared" ref="T43:T49" si="2">S43&amp;" "&amp;$U$35</f>
        <v>2 0</v>
      </c>
      <c r="U43" s="35" t="e">
        <f t="shared" ref="U43:U49" si="3">IF(VLOOKUP(T43,$N$31:$R$62,$V$36,0)=0,"",(VLOOKUP(T43,$N$31:$R$62,$V$36,0)))</f>
        <v>#N/A</v>
      </c>
      <c r="V43" t="s">
        <v>180</v>
      </c>
      <c r="W43" t="s">
        <v>150</v>
      </c>
    </row>
    <row r="44" spans="1:23" x14ac:dyDescent="0.35">
      <c r="N44" s="38" t="s">
        <v>206</v>
      </c>
      <c r="S44" s="33">
        <v>3</v>
      </c>
      <c r="T44" s="33" t="str">
        <f t="shared" si="2"/>
        <v>3 0</v>
      </c>
      <c r="U44" s="35" t="e">
        <f t="shared" si="3"/>
        <v>#N/A</v>
      </c>
      <c r="V44" t="s">
        <v>181</v>
      </c>
      <c r="W44" t="s">
        <v>151</v>
      </c>
    </row>
    <row r="45" spans="1:23" x14ac:dyDescent="0.35">
      <c r="N45" s="38" t="s">
        <v>207</v>
      </c>
      <c r="S45" s="33">
        <v>4</v>
      </c>
      <c r="T45" s="33" t="str">
        <f t="shared" si="2"/>
        <v>4 0</v>
      </c>
      <c r="U45" s="35" t="e">
        <f t="shared" si="3"/>
        <v>#N/A</v>
      </c>
      <c r="V45" t="s">
        <v>182</v>
      </c>
      <c r="W45" t="s">
        <v>152</v>
      </c>
    </row>
    <row r="46" spans="1:23" x14ac:dyDescent="0.35">
      <c r="A46" s="33" t="s">
        <v>127</v>
      </c>
      <c r="B46" s="33" t="s">
        <v>128</v>
      </c>
      <c r="C46" s="33" t="s">
        <v>130</v>
      </c>
      <c r="D46" s="33" t="s">
        <v>131</v>
      </c>
      <c r="E46" s="33" t="s">
        <v>132</v>
      </c>
      <c r="F46" s="33" t="s">
        <v>133</v>
      </c>
      <c r="G46" s="37" t="s">
        <v>190</v>
      </c>
      <c r="H46" s="33" t="e" cm="1">
        <f t="array" aca="1" ref="H46" ca="1">OFFSET(Ref!$A$46,1,MATCH(Configurator!$D$16, Ref!$A$46:$G$46, 0)-1,COUNTA(OFFSET(Ref!$A$46,1,MATCH(Configurator!$D$16,Ref!$A$46:$G$46,0)-1,10,1)),1)</f>
        <v>#N/A</v>
      </c>
      <c r="N46" s="38" t="s">
        <v>208</v>
      </c>
      <c r="S46" s="33">
        <v>5</v>
      </c>
      <c r="T46" s="33" t="str">
        <f t="shared" si="2"/>
        <v>5 0</v>
      </c>
      <c r="U46" s="35" t="e">
        <f t="shared" si="3"/>
        <v>#N/A</v>
      </c>
      <c r="V46" t="s">
        <v>183</v>
      </c>
      <c r="W46" t="s">
        <v>154</v>
      </c>
    </row>
    <row r="47" spans="1:23" x14ac:dyDescent="0.35">
      <c r="A47" s="13" t="s">
        <v>225</v>
      </c>
      <c r="B47" s="10" t="s">
        <v>231</v>
      </c>
      <c r="C47" s="10" t="s">
        <v>233</v>
      </c>
      <c r="D47" s="13" t="s">
        <v>225</v>
      </c>
      <c r="E47" s="10" t="s">
        <v>231</v>
      </c>
      <c r="F47" s="10" t="s">
        <v>233</v>
      </c>
      <c r="G47" s="10" t="s">
        <v>228</v>
      </c>
      <c r="N47" s="38" t="s">
        <v>209</v>
      </c>
      <c r="O47" s="33" t="s">
        <v>3</v>
      </c>
      <c r="P47" s="33" t="s">
        <v>3</v>
      </c>
      <c r="Q47" s="33" t="s">
        <v>3</v>
      </c>
      <c r="R47" s="33" t="s">
        <v>3</v>
      </c>
      <c r="S47" s="33">
        <v>6</v>
      </c>
      <c r="T47" s="33" t="str">
        <f t="shared" si="2"/>
        <v>6 0</v>
      </c>
      <c r="U47" s="35" t="e">
        <f t="shared" si="3"/>
        <v>#N/A</v>
      </c>
      <c r="V47" t="s">
        <v>184</v>
      </c>
      <c r="W47" t="s">
        <v>155</v>
      </c>
    </row>
    <row r="48" spans="1:23" x14ac:dyDescent="0.35">
      <c r="A48" s="10" t="s">
        <v>226</v>
      </c>
      <c r="B48" s="10" t="s">
        <v>232</v>
      </c>
      <c r="C48" s="10" t="s">
        <v>234</v>
      </c>
      <c r="D48" s="10" t="s">
        <v>226</v>
      </c>
      <c r="E48" s="10" t="s">
        <v>232</v>
      </c>
      <c r="F48" s="10" t="s">
        <v>234</v>
      </c>
      <c r="G48" s="10" t="s">
        <v>229</v>
      </c>
      <c r="N48" s="38" t="s">
        <v>210</v>
      </c>
      <c r="Q48" s="33" t="s">
        <v>236</v>
      </c>
      <c r="R48" s="33" t="s">
        <v>236</v>
      </c>
      <c r="S48" s="33">
        <v>7</v>
      </c>
      <c r="T48" s="33" t="str">
        <f t="shared" si="2"/>
        <v>7 0</v>
      </c>
      <c r="U48" s="35" t="e">
        <f t="shared" si="3"/>
        <v>#N/A</v>
      </c>
      <c r="W48" t="s">
        <v>156</v>
      </c>
    </row>
    <row r="49" spans="1:22" x14ac:dyDescent="0.35">
      <c r="A49" s="10" t="s">
        <v>227</v>
      </c>
      <c r="D49" s="10" t="s">
        <v>227</v>
      </c>
      <c r="G49" s="10" t="s">
        <v>230</v>
      </c>
      <c r="N49" s="38" t="s">
        <v>211</v>
      </c>
      <c r="Q49" s="33" t="s">
        <v>235</v>
      </c>
      <c r="R49" s="33" t="s">
        <v>235</v>
      </c>
      <c r="S49" s="33">
        <v>8</v>
      </c>
      <c r="T49" s="33" t="str">
        <f t="shared" si="2"/>
        <v>8 0</v>
      </c>
      <c r="U49" s="35" t="e">
        <f t="shared" si="3"/>
        <v>#N/A</v>
      </c>
    </row>
    <row r="50" spans="1:22" x14ac:dyDescent="0.35">
      <c r="N50" s="38" t="s">
        <v>212</v>
      </c>
      <c r="Q50" s="33" t="s">
        <v>58</v>
      </c>
      <c r="R50" s="33" t="s">
        <v>58</v>
      </c>
    </row>
    <row r="51" spans="1:22" x14ac:dyDescent="0.35">
      <c r="N51" s="38" t="s">
        <v>213</v>
      </c>
      <c r="Q51" s="33" t="s">
        <v>59</v>
      </c>
      <c r="R51" s="33" t="s">
        <v>59</v>
      </c>
      <c r="U51" s="36" t="s">
        <v>56</v>
      </c>
      <c r="V51" s="36" t="s">
        <v>25</v>
      </c>
    </row>
    <row r="52" spans="1:22" x14ac:dyDescent="0.35">
      <c r="N52" s="38" t="s">
        <v>214</v>
      </c>
      <c r="Q52" s="33" t="s">
        <v>60</v>
      </c>
      <c r="R52" s="33" t="s">
        <v>60</v>
      </c>
      <c r="U52" t="s">
        <v>3</v>
      </c>
      <c r="V52" t="s">
        <v>3</v>
      </c>
    </row>
    <row r="53" spans="1:22" x14ac:dyDescent="0.35">
      <c r="N53" s="38" t="s">
        <v>215</v>
      </c>
      <c r="Q53" s="33" t="s">
        <v>61</v>
      </c>
      <c r="R53" s="33" t="s">
        <v>61</v>
      </c>
      <c r="U53" t="s">
        <v>75</v>
      </c>
    </row>
    <row r="54" spans="1:22" x14ac:dyDescent="0.35">
      <c r="N54" s="38" t="s">
        <v>216</v>
      </c>
      <c r="Q54" s="33" t="s">
        <v>62</v>
      </c>
      <c r="R54" s="33" t="s">
        <v>62</v>
      </c>
      <c r="U54" t="s">
        <v>76</v>
      </c>
    </row>
    <row r="55" spans="1:22" x14ac:dyDescent="0.35">
      <c r="N55" s="38" t="s">
        <v>217</v>
      </c>
      <c r="O55" s="33" t="s">
        <v>3</v>
      </c>
      <c r="P55" s="33" t="s">
        <v>3</v>
      </c>
      <c r="Q55" s="33" t="s">
        <v>3</v>
      </c>
      <c r="R55" s="33" t="s">
        <v>3</v>
      </c>
      <c r="U55" t="s">
        <v>77</v>
      </c>
    </row>
    <row r="56" spans="1:22" x14ac:dyDescent="0.35">
      <c r="N56" s="38" t="s">
        <v>218</v>
      </c>
      <c r="P56" s="33" t="s">
        <v>236</v>
      </c>
      <c r="Q56" s="33" t="s">
        <v>236</v>
      </c>
      <c r="R56" s="33" t="s">
        <v>236</v>
      </c>
      <c r="U56" t="s">
        <v>78</v>
      </c>
    </row>
    <row r="57" spans="1:22" x14ac:dyDescent="0.35">
      <c r="N57" s="38" t="s">
        <v>219</v>
      </c>
      <c r="P57" s="33" t="s">
        <v>235</v>
      </c>
      <c r="Q57" s="33" t="s">
        <v>235</v>
      </c>
      <c r="R57" s="33" t="s">
        <v>235</v>
      </c>
      <c r="U57" t="s">
        <v>79</v>
      </c>
    </row>
    <row r="58" spans="1:22" x14ac:dyDescent="0.35">
      <c r="N58" s="38" t="s">
        <v>220</v>
      </c>
      <c r="P58" s="33" t="s">
        <v>58</v>
      </c>
      <c r="Q58" s="33" t="s">
        <v>58</v>
      </c>
      <c r="R58" s="33" t="s">
        <v>58</v>
      </c>
      <c r="U58" t="s">
        <v>80</v>
      </c>
    </row>
    <row r="59" spans="1:22" x14ac:dyDescent="0.35">
      <c r="N59" s="38" t="s">
        <v>221</v>
      </c>
      <c r="P59" s="33" t="s">
        <v>59</v>
      </c>
      <c r="Q59" s="33" t="s">
        <v>59</v>
      </c>
      <c r="R59" s="33" t="s">
        <v>59</v>
      </c>
      <c r="U59" t="s">
        <v>81</v>
      </c>
    </row>
    <row r="60" spans="1:22" x14ac:dyDescent="0.35">
      <c r="N60" s="38" t="s">
        <v>222</v>
      </c>
      <c r="P60" s="33" t="s">
        <v>60</v>
      </c>
      <c r="Q60" s="33" t="s">
        <v>60</v>
      </c>
      <c r="R60" s="33" t="s">
        <v>60</v>
      </c>
      <c r="U60" t="s">
        <v>82</v>
      </c>
    </row>
    <row r="61" spans="1:22" x14ac:dyDescent="0.35">
      <c r="N61" s="38" t="s">
        <v>223</v>
      </c>
      <c r="P61" s="33" t="s">
        <v>61</v>
      </c>
      <c r="Q61" s="33" t="s">
        <v>61</v>
      </c>
      <c r="R61" s="33" t="s">
        <v>61</v>
      </c>
      <c r="U61" t="s">
        <v>83</v>
      </c>
    </row>
    <row r="62" spans="1:22" x14ac:dyDescent="0.35">
      <c r="N62" s="38" t="s">
        <v>224</v>
      </c>
      <c r="P62" s="33" t="s">
        <v>62</v>
      </c>
      <c r="Q62" s="33" t="s">
        <v>62</v>
      </c>
      <c r="R62" s="33" t="s">
        <v>62</v>
      </c>
      <c r="U62" t="s">
        <v>84</v>
      </c>
    </row>
    <row r="63" spans="1:22" x14ac:dyDescent="0.35">
      <c r="U63" t="s">
        <v>85</v>
      </c>
    </row>
  </sheetData>
  <sheetProtection algorithmName="SHA-512" hashValue="83N00t2kkWxR0AD5fzAmE6eZrzF6hVHKs1dCbT1Wgh8J+5llL2W78jI8aAQb1tQzbuGY6Kf4V9VyH7JKagrrhA==" saltValue="JW0Pxtz/W2o0d0NGRGdBDQ==" spinCount="100000" sheet="1" objects="1" scenarios="1"/>
  <mergeCells count="2">
    <mergeCell ref="A1:E1"/>
    <mergeCell ref="U39:W39"/>
  </mergeCells>
  <dataValidations disablePrompts="1" count="1">
    <dataValidation type="list" allowBlank="1" showInputMessage="1" showErrorMessage="1" sqref="L2" xr:uid="{D485E8D2-A6AF-4E0A-B04F-7BA502F3BFF9}">
      <formula1>FillPanel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8b731912-4740-4edd-9413-f7b82da1ad62">
      <Terms xmlns="http://schemas.microsoft.com/office/infopath/2007/PartnerControls"/>
    </lcf76f155ced4ddcb4097134ff3c332f>
    <_ip_UnifiedCompliancePolicyProperties xmlns="http://schemas.microsoft.com/sharepoint/v3" xsi:nil="true"/>
    <TaxCatchAll xmlns="3256c750-1f16-47fc-ad6c-208284b1a521" xsi:nil="true"/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43A28331056144A15093B2BD4EFF11" ma:contentTypeVersion="20" ma:contentTypeDescription="Create a new document." ma:contentTypeScope="" ma:versionID="7a3e89762d37b5953962658a25906ac7">
  <xsd:schema xmlns:xsd="http://www.w3.org/2001/XMLSchema" xmlns:xs="http://www.w3.org/2001/XMLSchema" xmlns:p="http://schemas.microsoft.com/office/2006/metadata/properties" xmlns:ns1="http://schemas.microsoft.com/sharepoint/v3" xmlns:ns2="3256c750-1f16-47fc-ad6c-208284b1a521" xmlns:ns3="8b731912-4740-4edd-9413-f7b82da1ad62" targetNamespace="http://schemas.microsoft.com/office/2006/metadata/properties" ma:root="true" ma:fieldsID="acc63393eb77fb450df3b45e5c0e0f05" ns1:_="" ns2:_="" ns3:_="">
    <xsd:import namespace="http://schemas.microsoft.com/sharepoint/v3"/>
    <xsd:import namespace="3256c750-1f16-47fc-ad6c-208284b1a521"/>
    <xsd:import namespace="8b731912-4740-4edd-9413-f7b82da1ad6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1:_ip_UnifiedCompliancePolicyProperties" minOccurs="0"/>
                <xsd:element ref="ns1:_ip_UnifiedCompliancePolicyUIAc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56c750-1f16-47fc-ad6c-208284b1a52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15f547be-8489-4ee9-bb9d-e39c504b31a5}" ma:internalName="TaxCatchAll" ma:showField="CatchAllData" ma:web="3256c750-1f16-47fc-ad6c-208284b1a5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731912-4740-4edd-9413-f7b82da1ad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65fb0e53-6877-4caa-bbe6-a07d98880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186ABB-981B-48D3-85C6-8BF71A086369}">
  <ds:schemaRefs>
    <ds:schemaRef ds:uri="7e66ae58-37d6-4000-9b17-1a0758c73565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a5e27fc5-7ea0-4f73-9b9f-f137b39c1e32"/>
    <ds:schemaRef ds:uri="http://www.w3.org/XML/1998/namespace"/>
    <ds:schemaRef ds:uri="http://purl.org/dc/dcmitype/"/>
    <ds:schemaRef ds:uri="http://schemas.microsoft.com/sharepoint/v3"/>
    <ds:schemaRef ds:uri="8b731912-4740-4edd-9413-f7b82da1ad62"/>
    <ds:schemaRef ds:uri="3256c750-1f16-47fc-ad6c-208284b1a521"/>
  </ds:schemaRefs>
</ds:datastoreItem>
</file>

<file path=customXml/itemProps2.xml><?xml version="1.0" encoding="utf-8"?>
<ds:datastoreItem xmlns:ds="http://schemas.openxmlformats.org/officeDocument/2006/customXml" ds:itemID="{88F1D5BF-3DAE-4A49-A6F3-3EB919F0CA0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BCA247E-82D4-4D93-A436-1C97EB1A89B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76928A6-8FE8-4576-B529-6FBE56ACFC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256c750-1f16-47fc-ad6c-208284b1a521"/>
    <ds:schemaRef ds:uri="8b731912-4740-4edd-9413-f7b82da1ad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16</vt:i4>
      </vt:variant>
    </vt:vector>
  </HeadingPairs>
  <TitlesOfParts>
    <vt:vector size="17" baseType="lpstr">
      <vt:lpstr>Configurator</vt:lpstr>
      <vt:lpstr>_6000_psi_5_Stage_Compressor_10_Horsepower</vt:lpstr>
      <vt:lpstr>_6000_psi_5_Stage_Compressor_20_Horsepower</vt:lpstr>
      <vt:lpstr>_6000_psi_5_Stage_Compressor_30_Horsepower</vt:lpstr>
      <vt:lpstr>_7000_psi_5_Stage_Compressor_10_Horsepower</vt:lpstr>
      <vt:lpstr>_7000_psi_5_Stage_Compressor_20_Horsepower</vt:lpstr>
      <vt:lpstr>_7000_psi_5_Stage_Compressor_30_Horsepower</vt:lpstr>
      <vt:lpstr>Compressor</vt:lpstr>
      <vt:lpstr>FillPanel</vt:lpstr>
      <vt:lpstr>FillStation</vt:lpstr>
      <vt:lpstr>None</vt:lpstr>
      <vt:lpstr>Revolveair</vt:lpstr>
      <vt:lpstr>RevolveairMobile</vt:lpstr>
      <vt:lpstr>RevolveairWAttachedStorage</vt:lpstr>
      <vt:lpstr>StationaryBulkFilling</vt:lpstr>
      <vt:lpstr>StationaryWAutoCascade</vt:lpstr>
      <vt:lpstr>StationaryWManualCascade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Vangelov, Dave</dc:creator>
  <cp:lastModifiedBy>Vangelov, Dave</cp:lastModifiedBy>
  <cp:lastPrinted>2021-01-20T13:55:59Z</cp:lastPrinted>
  <dcterms:created xsi:type="dcterms:W3CDTF">2020-10-19T17:49:41Z</dcterms:created>
  <dcterms:modified xsi:type="dcterms:W3CDTF">2024-04-10T18:31:49Z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0x010100FDAC5493D9750E44876533232691F99B</vt:lpwstr>
  </property>
  <property fmtid="{D5CDD505-2E9C-101B-9397-08002B2CF9AE}" pid="3" name="MediaServiceImageTags">
    <vt:lpwstr/>
  </property>
  <property fmtid="{D5CDD505-2E9C-101B-9397-08002B2CF9AE}" pid="4" name="_dlc_DocIdItemGuid">
    <vt:lpwstr>c3b5a659-7483-4bb3-b675-9a61bd7c78e2</vt:lpwstr>
  </property>
</Properties>
</file>