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V:\ProcurementServices\PSTm04(Normile)\LawEnforcement\38235-23300 ElectronicMonitoring\FPR\07 PSG Tech\"/>
    </mc:Choice>
  </mc:AlternateContent>
  <xr:revisionPtr revIDLastSave="0" documentId="13_ncr:1_{0081764E-DF19-4423-B171-995785E0D7C5}" xr6:coauthVersionLast="47" xr6:coauthVersionMax="47" xr10:uidLastSave="{00000000-0000-0000-0000-000000000000}"/>
  <bookViews>
    <workbookView xWindow="-120" yWindow="-120" windowWidth="24240" windowHeight="13140" xr2:uid="{00000000-000D-0000-FFFF-FFFF00000000}"/>
  </bookViews>
  <sheets>
    <sheet name="NYS Pricin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K21" i="2"/>
  <c r="M21" i="2"/>
  <c r="P21" i="2"/>
  <c r="H22" i="2"/>
  <c r="K22" i="2"/>
  <c r="M22" i="2"/>
  <c r="P22" i="2"/>
  <c r="H23" i="2"/>
  <c r="K23" i="2"/>
  <c r="M23" i="2"/>
  <c r="P23" i="2"/>
  <c r="H24" i="2"/>
  <c r="K24" i="2"/>
  <c r="M24" i="2"/>
  <c r="P24" i="2"/>
  <c r="H25" i="2"/>
  <c r="K25" i="2"/>
  <c r="M25" i="2"/>
  <c r="P25" i="2"/>
  <c r="H26" i="2"/>
  <c r="K26" i="2"/>
  <c r="M26" i="2"/>
  <c r="P26" i="2"/>
  <c r="H27" i="2"/>
  <c r="M27" i="2"/>
  <c r="P27" i="2"/>
  <c r="N71" i="2"/>
  <c r="N70" i="2"/>
  <c r="N69" i="2"/>
  <c r="N68" i="2"/>
  <c r="N67" i="2"/>
  <c r="N66" i="2"/>
  <c r="N65" i="2"/>
  <c r="L71" i="2"/>
  <c r="L70" i="2"/>
  <c r="L69" i="2"/>
  <c r="L68" i="2"/>
  <c r="L67" i="2"/>
  <c r="L66" i="2"/>
  <c r="L65" i="2"/>
  <c r="J71" i="2"/>
  <c r="J70" i="2"/>
  <c r="J69" i="2"/>
  <c r="J68" i="2"/>
  <c r="J67" i="2"/>
  <c r="J66" i="2"/>
  <c r="J65" i="2"/>
  <c r="I71" i="2"/>
  <c r="I70" i="2"/>
  <c r="I69" i="2"/>
  <c r="I68" i="2"/>
  <c r="I67" i="2"/>
  <c r="I66" i="2"/>
  <c r="I65" i="2"/>
  <c r="G71" i="2"/>
  <c r="G70" i="2"/>
  <c r="G69" i="2"/>
  <c r="G68" i="2"/>
  <c r="G67" i="2"/>
  <c r="G66" i="2"/>
  <c r="G65" i="2"/>
  <c r="E71" i="2"/>
  <c r="E70" i="2"/>
  <c r="E69" i="2"/>
  <c r="E68" i="2"/>
  <c r="E67" i="2"/>
  <c r="E66" i="2"/>
  <c r="E65" i="2"/>
  <c r="O60" i="2"/>
  <c r="O59" i="2"/>
  <c r="O58" i="2"/>
  <c r="O57" i="2"/>
  <c r="O56" i="2"/>
  <c r="O55" i="2"/>
  <c r="O54" i="2"/>
  <c r="N60" i="2"/>
  <c r="N59" i="2"/>
  <c r="N58" i="2"/>
  <c r="N57" i="2"/>
  <c r="N56" i="2"/>
  <c r="N55" i="2"/>
  <c r="N54" i="2"/>
  <c r="L60" i="2"/>
  <c r="L59" i="2"/>
  <c r="L58" i="2"/>
  <c r="L57" i="2"/>
  <c r="L56" i="2"/>
  <c r="L55" i="2"/>
  <c r="L54" i="2"/>
  <c r="J60" i="2"/>
  <c r="J59" i="2"/>
  <c r="J58" i="2"/>
  <c r="J57" i="2"/>
  <c r="J56" i="2"/>
  <c r="J55" i="2"/>
  <c r="J54" i="2"/>
  <c r="I60" i="2"/>
  <c r="I59" i="2"/>
  <c r="I58" i="2"/>
  <c r="I57" i="2"/>
  <c r="I56" i="2"/>
  <c r="I55" i="2"/>
  <c r="I54" i="2"/>
  <c r="G60" i="2"/>
  <c r="G59" i="2"/>
  <c r="G58" i="2"/>
  <c r="G57" i="2"/>
  <c r="G56" i="2"/>
  <c r="G55" i="2"/>
  <c r="G54" i="2"/>
  <c r="E60" i="2"/>
  <c r="E59" i="2"/>
  <c r="E58" i="2"/>
  <c r="E57" i="2"/>
  <c r="E56" i="2"/>
  <c r="E55" i="2"/>
  <c r="E54" i="2"/>
  <c r="M38" i="2"/>
  <c r="M37" i="2"/>
  <c r="M36" i="2"/>
  <c r="M35" i="2"/>
  <c r="M34" i="2"/>
  <c r="M33" i="2"/>
  <c r="M32" i="2"/>
  <c r="K38" i="2"/>
  <c r="K37" i="2"/>
  <c r="K36" i="2"/>
  <c r="K35" i="2"/>
  <c r="K34" i="2"/>
  <c r="K33" i="2"/>
  <c r="K32" i="2"/>
  <c r="H38" i="2"/>
  <c r="H37" i="2"/>
  <c r="H36" i="2"/>
  <c r="H35" i="2"/>
  <c r="H34" i="2"/>
  <c r="H33" i="2"/>
  <c r="H32" i="2"/>
</calcChain>
</file>

<file path=xl/sharedStrings.xml><?xml version="1.0" encoding="utf-8"?>
<sst xmlns="http://schemas.openxmlformats.org/spreadsheetml/2006/main" count="116" uniqueCount="55">
  <si>
    <t>Item</t>
  </si>
  <si>
    <t>Model Description</t>
  </si>
  <si>
    <t>Number of Units</t>
  </si>
  <si>
    <t>Replacement Cost Per Unit</t>
  </si>
  <si>
    <t>RF Transmitter Band</t>
  </si>
  <si>
    <t>Smart Beacon</t>
  </si>
  <si>
    <t>1 - 100</t>
  </si>
  <si>
    <t>101 - 250</t>
  </si>
  <si>
    <t>251 - 500</t>
  </si>
  <si>
    <t>501 - 1,000</t>
  </si>
  <si>
    <t>1,001 - 2,000</t>
  </si>
  <si>
    <t>2,001 - 3,500</t>
  </si>
  <si>
    <t>3,501+</t>
  </si>
  <si>
    <t>RF Transmitter Band and Smart Beacon Purchase Price</t>
  </si>
  <si>
    <t>Daily Rate Per Active Unit Per Day</t>
  </si>
  <si>
    <t>(Per Kit)</t>
  </si>
  <si>
    <t>Purchase Price</t>
  </si>
  <si>
    <t>Daily Rate</t>
  </si>
  <si>
    <t>Cellular Monitoring Service</t>
  </si>
  <si>
    <t>On-Body Charger</t>
  </si>
  <si>
    <t>Charger Dock</t>
  </si>
  <si>
    <t>Replacement Strap</t>
  </si>
  <si>
    <t>Optional Standard Beacon</t>
  </si>
  <si>
    <t>Model #1</t>
  </si>
  <si>
    <t>Smart Tag®</t>
  </si>
  <si>
    <t>Smart Tag® Kit including Smart Tag®, On-Body Charger, Charger Dock, and Replacement Strap and Cellular Monitoring Service</t>
  </si>
  <si>
    <r>
      <rPr>
        <b/>
        <sz val="10"/>
        <rFont val="Arial"/>
        <family val="2"/>
      </rPr>
      <t xml:space="preserve">Model #1
Manufacturer: </t>
    </r>
    <r>
      <rPr>
        <sz val="10"/>
        <rFont val="Arial"/>
        <family val="2"/>
      </rPr>
      <t xml:space="preserve">Buddi US, LLC
</t>
    </r>
    <r>
      <rPr>
        <b/>
        <sz val="10"/>
        <rFont val="Arial"/>
        <family val="2"/>
      </rPr>
      <t xml:space="preserve">Brand/Model Number: </t>
    </r>
    <r>
      <rPr>
        <sz val="10"/>
        <rFont val="Arial"/>
        <family val="2"/>
      </rPr>
      <t>RF Transmitter Band and Smart Beacon</t>
    </r>
  </si>
  <si>
    <r>
      <rPr>
        <b/>
        <sz val="10"/>
        <color rgb="FFFFFFFF"/>
        <rFont val="Arial"/>
        <family val="2"/>
      </rPr>
      <t>Hardware Purchase Options: New York State</t>
    </r>
  </si>
  <si>
    <r>
      <rPr>
        <b/>
        <sz val="10"/>
        <rFont val="Arial"/>
        <family val="2"/>
      </rPr>
      <t>Cellular Monitoring
Service</t>
    </r>
  </si>
  <si>
    <r>
      <rPr>
        <b/>
        <sz val="10"/>
        <color rgb="FFFFFFFF"/>
        <rFont val="Arial"/>
        <family val="2"/>
      </rPr>
      <t>Hardware Lease Options: New York State</t>
    </r>
  </si>
  <si>
    <r>
      <rPr>
        <b/>
        <sz val="10"/>
        <rFont val="Arial"/>
        <family val="2"/>
      </rPr>
      <t>Daily Rate Per
Active Unit Per Day</t>
    </r>
  </si>
  <si>
    <r>
      <rPr>
        <b/>
        <sz val="10"/>
        <rFont val="Arial"/>
        <family val="2"/>
      </rPr>
      <t>RF Transmitter
Band, Smart Beacon and Cellular Monitoring Service</t>
    </r>
  </si>
  <si>
    <r>
      <rPr>
        <b/>
        <sz val="10"/>
        <rFont val="Arial"/>
        <family val="2"/>
      </rPr>
      <t xml:space="preserve">Manufacturer: </t>
    </r>
    <r>
      <rPr>
        <sz val="10"/>
        <rFont val="Arial"/>
        <family val="2"/>
      </rPr>
      <t xml:space="preserve">Buddi US, </t>
    </r>
    <r>
      <rPr>
        <sz val="10"/>
        <rFont val="Times New Roman"/>
        <family val="1"/>
      </rPr>
      <t>LLC</t>
    </r>
  </si>
  <si>
    <r>
      <rPr>
        <b/>
        <sz val="10"/>
        <rFont val="Arial"/>
        <family val="2"/>
      </rPr>
      <t>Smart Tag® Kit including Smart Tag®, On-Body Charger, Charger Dock, and Replacement Strap
(Per Kit)</t>
    </r>
  </si>
  <si>
    <r>
      <rPr>
        <b/>
        <sz val="10"/>
        <rFont val="Times New Roman"/>
        <family val="1"/>
      </rPr>
      <t xml:space="preserve">Brand/Model Number: </t>
    </r>
    <r>
      <rPr>
        <sz val="10"/>
        <rFont val="Times New Roman"/>
        <family val="1"/>
      </rPr>
      <t>Smart Tag® Kit inclusive of on- body-charger, charger dock, replacement straps, and optional standard Beacon</t>
    </r>
  </si>
  <si>
    <r>
      <rPr>
        <b/>
        <sz val="10"/>
        <rFont val="Arial"/>
        <family val="2"/>
      </rPr>
      <t xml:space="preserve">Attachment 1 Pricing 
NASPO ValuePoint MASTER AGREEMENT #: 22PSX0021 EXHIBIT B
</t>
    </r>
    <r>
      <rPr>
        <sz val="10"/>
        <rFont val="Arial"/>
        <family val="2"/>
      </rPr>
      <t>NYS OGS Piggyback Agreement Group 38235, Award 23300, Contract Number PC70431
This Exhibit B Price Schedule includes not to exceed “ceiling” pricing for Contractor for the electronic monitoring service offered.  All Contractor costs are included in the prices specified unless otherwise negotiated per Participating Entity’s PA. A Participating Entity reserves the right to further negotiate pricing per its PA.</t>
    </r>
  </si>
  <si>
    <r>
      <rPr>
        <b/>
        <sz val="11"/>
        <color rgb="FFFFFFFF"/>
        <rFont val="Arial"/>
        <family val="2"/>
      </rPr>
      <t>Item</t>
    </r>
  </si>
  <si>
    <r>
      <rPr>
        <b/>
        <sz val="11"/>
        <color rgb="FFFFFFFF"/>
        <rFont val="Arial"/>
        <family val="2"/>
      </rPr>
      <t>Description of Service</t>
    </r>
  </si>
  <si>
    <r>
      <rPr>
        <b/>
        <sz val="11"/>
        <color rgb="FFFFFFFF"/>
        <rFont val="Arial"/>
        <family val="2"/>
      </rPr>
      <t>Cost</t>
    </r>
  </si>
  <si>
    <r>
      <rPr>
        <b/>
        <sz val="11"/>
        <rFont val="Arial"/>
        <family val="2"/>
      </rPr>
      <t>Real time electronic monitoring of home confinement 24 hours per day, 7 days per week, and 365 days per year</t>
    </r>
  </si>
  <si>
    <r>
      <rPr>
        <sz val="11"/>
        <rFont val="Arial"/>
        <family val="2"/>
      </rPr>
      <t>Included at no additional cost.</t>
    </r>
  </si>
  <si>
    <r>
      <rPr>
        <b/>
        <sz val="11"/>
        <rFont val="Arial"/>
        <family val="2"/>
      </rPr>
      <t>System implementation, integration, configuration, UAT and Go-Live deployment</t>
    </r>
  </si>
  <si>
    <r>
      <rPr>
        <b/>
        <sz val="11"/>
        <rFont val="Arial"/>
        <family val="2"/>
      </rPr>
      <t>Licensed Software for Purchasing Entity authorized Users</t>
    </r>
  </si>
  <si>
    <r>
      <rPr>
        <b/>
        <sz val="11"/>
        <rFont val="Arial"/>
        <family val="2"/>
      </rPr>
      <t>Hosted Services</t>
    </r>
  </si>
  <si>
    <r>
      <rPr>
        <b/>
        <sz val="11"/>
        <rFont val="Arial"/>
        <family val="2"/>
      </rPr>
      <t xml:space="preserve">System Training for unlimited Users:
</t>
    </r>
    <r>
      <rPr>
        <sz val="11"/>
        <rFont val="Symbol"/>
        <family val="1"/>
      </rPr>
      <t></t>
    </r>
    <r>
      <rPr>
        <sz val="11"/>
        <rFont val="Times New Roman"/>
        <family val="1"/>
      </rPr>
      <t xml:space="preserve">     </t>
    </r>
    <r>
      <rPr>
        <sz val="11"/>
        <rFont val="Arial"/>
        <family val="2"/>
      </rPr>
      <t xml:space="preserve">Web Based and/or Virtual Training
</t>
    </r>
    <r>
      <rPr>
        <sz val="11"/>
        <rFont val="Symbol"/>
        <family val="1"/>
      </rPr>
      <t></t>
    </r>
    <r>
      <rPr>
        <sz val="11"/>
        <rFont val="Times New Roman"/>
        <family val="1"/>
      </rPr>
      <t xml:space="preserve">     </t>
    </r>
    <r>
      <rPr>
        <sz val="11"/>
        <rFont val="Arial"/>
        <family val="2"/>
      </rPr>
      <t>On-Site</t>
    </r>
  </si>
  <si>
    <r>
      <rPr>
        <b/>
        <sz val="11"/>
        <rFont val="Arial"/>
        <family val="2"/>
      </rPr>
      <t>Preventative Maintenance and Support of Hardware</t>
    </r>
  </si>
  <si>
    <r>
      <rPr>
        <b/>
        <sz val="11"/>
        <rFont val="Arial"/>
        <family val="2"/>
      </rPr>
      <t xml:space="preserve">Twenty (20%) Percent Allowance of Surplus Hardware
</t>
    </r>
    <r>
      <rPr>
        <sz val="11"/>
        <rFont val="Arial"/>
        <family val="2"/>
      </rPr>
      <t>20% surplus hardware provided based on Purchasing Entity’s active leased units.</t>
    </r>
  </si>
  <si>
    <r>
      <rPr>
        <b/>
        <sz val="11"/>
        <rFont val="Arial"/>
        <family val="2"/>
      </rPr>
      <t>Customized Reporting Service for Purchasing Entity User(s)</t>
    </r>
  </si>
  <si>
    <r>
      <rPr>
        <b/>
        <sz val="11"/>
        <rFont val="Arial"/>
        <family val="2"/>
      </rPr>
      <t xml:space="preserve">Monitoring Center System Automated Alert Notifications, 24/7/365
</t>
    </r>
    <r>
      <rPr>
        <sz val="11"/>
        <rFont val="Arial"/>
        <family val="2"/>
      </rPr>
      <t>System automated alert notifications via SMS, email, WhatsApp, and automated text to voice call</t>
    </r>
  </si>
  <si>
    <r>
      <rPr>
        <b/>
        <sz val="11"/>
        <rFont val="Arial"/>
        <family val="2"/>
      </rPr>
      <t>Monitoring Center Live Alert Call Options, 24/7/365</t>
    </r>
  </si>
  <si>
    <r>
      <rPr>
        <sz val="11"/>
        <rFont val="Arial"/>
        <family val="2"/>
      </rPr>
      <t>Real time escalation and User confirmation of alert notifications</t>
    </r>
  </si>
  <si>
    <r>
      <rPr>
        <sz val="11"/>
        <rFont val="Arial"/>
        <family val="2"/>
      </rPr>
      <t>$ 0.10 daily rate per active unit per day</t>
    </r>
  </si>
  <si>
    <r>
      <rPr>
        <sz val="11"/>
        <rFont val="Arial"/>
        <family val="2"/>
      </rPr>
      <t>Monitoring intervention service for Purchasing Entity User(s)</t>
    </r>
  </si>
  <si>
    <r>
      <rPr>
        <sz val="11"/>
        <rFont val="Arial"/>
        <family val="2"/>
      </rPr>
      <t>Monitoring intervention service for Purchasing Entity authorized offender(s):</t>
    </r>
  </si>
  <si>
    <r>
      <rPr>
        <b/>
        <sz val="11"/>
        <rFont val="Arial"/>
        <family val="2"/>
      </rPr>
      <t>Licensed Software for Users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</si>
</sst>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 0.00"/>
    <numFmt numFmtId="167" formatCode="0.0"/>
  </numFmts>
  <fonts count="15" x14ac:knownFonts="1">
    <font>
      <sz val="10"/>
      <color rgb="FF000000"/>
      <name val="Times New Roman"/>
      <charset val="204"/>
    </font>
    <font>
      <sz val="10"/>
      <color rgb="FF000000"/>
      <name val="Times New Roman"/>
      <family val="1"/>
    </font>
    <font>
      <b/>
      <sz val="10"/>
      <name val="Times New Roman"/>
      <family val="1"/>
    </font>
    <font>
      <sz val="10"/>
      <name val="Times New Roman"/>
      <family val="1"/>
    </font>
    <font>
      <b/>
      <sz val="10"/>
      <name val="Arial"/>
      <family val="2"/>
    </font>
    <font>
      <b/>
      <sz val="10"/>
      <color rgb="FFFFFFFF"/>
      <name val="Arial"/>
      <family val="2"/>
    </font>
    <font>
      <b/>
      <sz val="10"/>
      <color rgb="FF000000"/>
      <name val="Arial"/>
      <family val="2"/>
    </font>
    <font>
      <sz val="10"/>
      <name val="Arial"/>
      <family val="2"/>
    </font>
    <font>
      <sz val="10"/>
      <color rgb="FF000000"/>
      <name val="Arial"/>
      <family val="2"/>
    </font>
    <font>
      <sz val="11"/>
      <name val="Arial"/>
      <family val="2"/>
    </font>
    <font>
      <b/>
      <sz val="11"/>
      <name val="Arial"/>
      <family val="2"/>
    </font>
    <font>
      <b/>
      <sz val="11"/>
      <color rgb="FFFFFFFF"/>
      <name val="Arial"/>
      <family val="2"/>
    </font>
    <font>
      <b/>
      <sz val="11"/>
      <color rgb="FF000000"/>
      <name val="Arial"/>
      <family val="2"/>
    </font>
    <font>
      <sz val="11"/>
      <name val="Symbol"/>
      <family val="1"/>
    </font>
    <font>
      <sz val="11"/>
      <name val="Times New Roman"/>
      <family val="1"/>
    </font>
  </fonts>
  <fills count="7">
    <fill>
      <patternFill patternType="none"/>
    </fill>
    <fill>
      <patternFill patternType="gray125"/>
    </fill>
    <fill>
      <patternFill patternType="solid">
        <fgColor rgb="FF15365C"/>
      </patternFill>
    </fill>
    <fill>
      <patternFill patternType="solid">
        <fgColor rgb="FFF0F0F0"/>
      </patternFill>
    </fill>
    <fill>
      <patternFill patternType="solid">
        <fgColor rgb="FFD9DFF0"/>
      </patternFill>
    </fill>
    <fill>
      <patternFill patternType="solid">
        <fgColor rgb="FF17365D"/>
      </patternFill>
    </fill>
    <fill>
      <patternFill patternType="solid">
        <fgColor rgb="FFC5D9F0"/>
      </patternFill>
    </fill>
  </fills>
  <borders count="13">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70">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wrapText="1"/>
    </xf>
    <xf numFmtId="0" fontId="1" fillId="2" borderId="11" xfId="0" applyFont="1" applyFill="1" applyBorder="1" applyAlignment="1">
      <alignment horizontal="left" wrapText="1"/>
    </xf>
    <xf numFmtId="0" fontId="4" fillId="3" borderId="5" xfId="0" applyFont="1" applyFill="1" applyBorder="1" applyAlignment="1">
      <alignment horizontal="left" vertical="top" wrapText="1"/>
    </xf>
    <xf numFmtId="0" fontId="1" fillId="3" borderId="5" xfId="0" applyFont="1" applyFill="1" applyBorder="1" applyAlignment="1">
      <alignment horizontal="left" vertical="top" wrapText="1"/>
    </xf>
    <xf numFmtId="0" fontId="4" fillId="3" borderId="5" xfId="0" applyFont="1" applyFill="1" applyBorder="1" applyAlignment="1">
      <alignment horizontal="center" vertical="center" wrapText="1"/>
    </xf>
    <xf numFmtId="1" fontId="6" fillId="0" borderId="5" xfId="0" applyNumberFormat="1" applyFont="1" applyBorder="1" applyAlignment="1">
      <alignment horizontal="left" vertical="top" shrinkToFit="1"/>
    </xf>
    <xf numFmtId="0" fontId="7" fillId="0" borderId="5" xfId="0" applyFont="1" applyBorder="1" applyAlignment="1">
      <alignment horizontal="center" vertical="top" wrapText="1"/>
    </xf>
    <xf numFmtId="165" fontId="8" fillId="0" borderId="5" xfId="0" applyNumberFormat="1" applyFont="1" applyBorder="1" applyAlignment="1">
      <alignment horizontal="center" vertical="top" shrinkToFit="1"/>
    </xf>
    <xf numFmtId="0" fontId="1" fillId="0" borderId="5" xfId="0" applyFont="1" applyBorder="1" applyAlignment="1">
      <alignment horizontal="left" wrapText="1"/>
    </xf>
    <xf numFmtId="0" fontId="7" fillId="0" borderId="5" xfId="0" applyFont="1" applyBorder="1" applyAlignment="1">
      <alignment horizontal="right" vertical="top" wrapText="1" indent="2"/>
    </xf>
    <xf numFmtId="0" fontId="4" fillId="3" borderId="5" xfId="0" applyFont="1" applyFill="1" applyBorder="1" applyAlignment="1">
      <alignment horizontal="left" vertical="top" wrapText="1" indent="1"/>
    </xf>
    <xf numFmtId="0" fontId="4" fillId="3" borderId="5" xfId="0" applyFont="1" applyFill="1" applyBorder="1" applyAlignment="1">
      <alignment horizontal="center" vertical="top" wrapText="1"/>
    </xf>
    <xf numFmtId="1" fontId="6" fillId="0" borderId="9" xfId="0" applyNumberFormat="1" applyFont="1" applyBorder="1" applyAlignment="1">
      <alignment horizontal="left" vertical="top" shrinkToFit="1"/>
    </xf>
    <xf numFmtId="0" fontId="1" fillId="0" borderId="1" xfId="0" applyFont="1" applyBorder="1" applyAlignment="1">
      <alignment horizontal="left" vertical="top" wrapText="1"/>
    </xf>
    <xf numFmtId="0" fontId="1" fillId="0" borderId="0" xfId="0" applyFont="1" applyAlignment="1">
      <alignment horizontal="left" wrapText="1"/>
    </xf>
    <xf numFmtId="165" fontId="8" fillId="0" borderId="8" xfId="0" applyNumberFormat="1" applyFont="1" applyBorder="1" applyAlignment="1">
      <alignment horizontal="center" vertical="top" shrinkToFi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1" fillId="0" borderId="0" xfId="0" applyFont="1" applyAlignment="1">
      <alignment horizontal="left" vertical="top" wrapText="1"/>
    </xf>
    <xf numFmtId="0" fontId="4" fillId="2" borderId="1"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1" fontId="6" fillId="0" borderId="2" xfId="0" applyNumberFormat="1" applyFont="1" applyBorder="1" applyAlignment="1">
      <alignment horizontal="left" vertical="top" shrinkToFit="1"/>
    </xf>
    <xf numFmtId="1" fontId="6" fillId="0" borderId="3" xfId="0" applyNumberFormat="1" applyFont="1" applyBorder="1" applyAlignment="1">
      <alignment horizontal="left" vertical="top" shrinkToFit="1"/>
    </xf>
    <xf numFmtId="1" fontId="6" fillId="0" borderId="11" xfId="0" applyNumberFormat="1" applyFont="1" applyBorder="1" applyAlignment="1">
      <alignment horizontal="left" vertical="top" shrinkToFit="1"/>
    </xf>
    <xf numFmtId="1" fontId="6" fillId="0" borderId="12" xfId="0" applyNumberFormat="1" applyFont="1" applyBorder="1" applyAlignment="1">
      <alignment horizontal="left" vertical="top" shrinkToFit="1"/>
    </xf>
    <xf numFmtId="1" fontId="6" fillId="0" borderId="9" xfId="0" applyNumberFormat="1" applyFont="1" applyBorder="1" applyAlignment="1">
      <alignment horizontal="left" vertical="top" shrinkToFit="1"/>
    </xf>
    <xf numFmtId="1" fontId="6" fillId="0" borderId="10" xfId="0" applyNumberFormat="1" applyFont="1" applyBorder="1" applyAlignment="1">
      <alignment horizontal="left" vertical="top" shrinkToFi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6" xfId="0" applyFont="1" applyBorder="1" applyAlignment="1">
      <alignment horizontal="left" vertical="top" wrapText="1" indent="3"/>
    </xf>
    <xf numFmtId="0" fontId="7" fillId="0" borderId="7" xfId="0" applyFont="1" applyBorder="1" applyAlignment="1">
      <alignment horizontal="left" vertical="top" wrapText="1" indent="3"/>
    </xf>
    <xf numFmtId="0" fontId="7" fillId="0" borderId="6" xfId="0" applyFont="1" applyBorder="1" applyAlignment="1">
      <alignment horizontal="left" vertical="top" wrapText="1" indent="2"/>
    </xf>
    <xf numFmtId="0" fontId="7" fillId="0" borderId="7" xfId="0" applyFont="1" applyBorder="1" applyAlignment="1">
      <alignment horizontal="left" vertical="top" wrapText="1" indent="2"/>
    </xf>
    <xf numFmtId="0" fontId="4" fillId="3" borderId="6" xfId="0" applyFont="1" applyFill="1" applyBorder="1" applyAlignment="1">
      <alignment horizontal="right" vertical="top" wrapText="1" indent="1"/>
    </xf>
    <xf numFmtId="0" fontId="4" fillId="3" borderId="7" xfId="0" applyFont="1" applyFill="1" applyBorder="1" applyAlignment="1">
      <alignment horizontal="right" vertical="top" wrapText="1" inden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1" fillId="0" borderId="0" xfId="0" applyFont="1" applyAlignment="1">
      <alignment horizontal="left" wrapText="1"/>
    </xf>
    <xf numFmtId="165" fontId="8" fillId="0" borderId="6" xfId="0" applyNumberFormat="1" applyFont="1" applyBorder="1" applyAlignment="1">
      <alignment horizontal="center" vertical="top" shrinkToFit="1"/>
    </xf>
    <xf numFmtId="165" fontId="8" fillId="0" borderId="8" xfId="0" applyNumberFormat="1" applyFont="1" applyBorder="1" applyAlignment="1">
      <alignment horizontal="center" vertical="top" shrinkToFit="1"/>
    </xf>
    <xf numFmtId="165" fontId="8" fillId="0" borderId="7" xfId="0" applyNumberFormat="1" applyFont="1" applyBorder="1" applyAlignment="1">
      <alignment horizontal="center" vertical="top" shrinkToFi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 fillId="3" borderId="9" xfId="0" applyFont="1" applyFill="1" applyBorder="1" applyAlignment="1">
      <alignment horizontal="left" vertical="top" wrapText="1" indent="3"/>
    </xf>
    <xf numFmtId="0" fontId="4" fillId="3" borderId="1" xfId="0" applyFont="1" applyFill="1" applyBorder="1" applyAlignment="1">
      <alignment horizontal="left" vertical="top" wrapText="1" indent="3"/>
    </xf>
    <xf numFmtId="0" fontId="4" fillId="3" borderId="10" xfId="0" applyFont="1" applyFill="1" applyBorder="1" applyAlignment="1">
      <alignment horizontal="left" vertical="top" wrapText="1" indent="3"/>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4" fillId="3" borderId="6" xfId="0" applyFont="1" applyFill="1" applyBorder="1" applyAlignment="1">
      <alignment horizontal="left" vertical="top" wrapText="1" indent="2"/>
    </xf>
    <xf numFmtId="0" fontId="4" fillId="3" borderId="8" xfId="0" applyFont="1" applyFill="1" applyBorder="1" applyAlignment="1">
      <alignment horizontal="left" vertical="top" wrapText="1" indent="2"/>
    </xf>
    <xf numFmtId="0" fontId="4" fillId="3" borderId="7" xfId="0" applyFont="1" applyFill="1" applyBorder="1" applyAlignment="1">
      <alignment horizontal="left" vertical="top" wrapText="1" indent="2"/>
    </xf>
    <xf numFmtId="0" fontId="4" fillId="2" borderId="6"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3" borderId="2" xfId="0" applyFont="1" applyFill="1" applyBorder="1" applyAlignment="1">
      <alignment horizontal="right" wrapText="1" indent="1"/>
    </xf>
    <xf numFmtId="0" fontId="4" fillId="3" borderId="3" xfId="0" applyFont="1" applyFill="1" applyBorder="1" applyAlignment="1">
      <alignment horizontal="right" wrapText="1" inden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4" borderId="6" xfId="0" applyFont="1" applyFill="1" applyBorder="1" applyAlignment="1">
      <alignment horizontal="left" vertical="top" wrapText="1" indent="1"/>
    </xf>
    <xf numFmtId="0" fontId="4" fillId="4" borderId="7" xfId="0" applyFont="1" applyFill="1" applyBorder="1" applyAlignment="1">
      <alignment horizontal="left" vertical="top" wrapText="1" indent="1"/>
    </xf>
    <xf numFmtId="0" fontId="4" fillId="4" borderId="6" xfId="0" applyFont="1" applyFill="1" applyBorder="1" applyAlignment="1">
      <alignment horizontal="left" vertical="center" wrapText="1" indent="8"/>
    </xf>
    <xf numFmtId="0" fontId="4" fillId="4" borderId="8" xfId="0" applyFont="1" applyFill="1" applyBorder="1" applyAlignment="1">
      <alignment horizontal="left" vertical="center" wrapText="1" indent="8"/>
    </xf>
    <xf numFmtId="0" fontId="4" fillId="4" borderId="7" xfId="0" applyFont="1" applyFill="1" applyBorder="1" applyAlignment="1">
      <alignment horizontal="left" vertical="center" wrapText="1" indent="8"/>
    </xf>
    <xf numFmtId="164" fontId="8" fillId="0" borderId="6" xfId="0" applyNumberFormat="1" applyFont="1" applyBorder="1" applyAlignment="1">
      <alignment horizontal="left" vertical="top" indent="2" shrinkToFit="1"/>
    </xf>
    <xf numFmtId="164" fontId="8" fillId="0" borderId="8" xfId="0" applyNumberFormat="1" applyFont="1" applyBorder="1" applyAlignment="1">
      <alignment horizontal="left" vertical="top" indent="2" shrinkToFit="1"/>
    </xf>
    <xf numFmtId="164" fontId="8" fillId="0" borderId="7" xfId="0" applyNumberFormat="1" applyFont="1" applyBorder="1" applyAlignment="1">
      <alignment horizontal="left" vertical="top" indent="2" shrinkToFit="1"/>
    </xf>
    <xf numFmtId="165" fontId="8" fillId="0" borderId="6" xfId="0" applyNumberFormat="1" applyFont="1" applyBorder="1" applyAlignment="1">
      <alignment horizontal="left" vertical="top" indent="3" shrinkToFit="1"/>
    </xf>
    <xf numFmtId="165" fontId="8" fillId="0" borderId="8" xfId="0" applyNumberFormat="1" applyFont="1" applyBorder="1" applyAlignment="1">
      <alignment horizontal="left" vertical="top" indent="3" shrinkToFit="1"/>
    </xf>
    <xf numFmtId="165" fontId="8" fillId="0" borderId="7" xfId="0" applyNumberFormat="1" applyFont="1" applyBorder="1" applyAlignment="1">
      <alignment horizontal="left" vertical="top" indent="3" shrinkToFit="1"/>
    </xf>
    <xf numFmtId="0" fontId="4" fillId="3" borderId="6" xfId="0" applyFont="1" applyFill="1" applyBorder="1" applyAlignment="1">
      <alignment horizontal="left" vertical="top" wrapText="1" indent="3"/>
    </xf>
    <xf numFmtId="0" fontId="4" fillId="3" borderId="7" xfId="0" applyFont="1" applyFill="1" applyBorder="1" applyAlignment="1">
      <alignment horizontal="left" vertical="top" wrapText="1" indent="3"/>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 xfId="0" applyFont="1" applyFill="1" applyBorder="1" applyAlignment="1">
      <alignment horizontal="left" vertical="top" wrapText="1"/>
    </xf>
    <xf numFmtId="0" fontId="4" fillId="3" borderId="9" xfId="0" applyFont="1" applyFill="1" applyBorder="1" applyAlignment="1">
      <alignment horizontal="right" vertical="top" wrapText="1" indent="1"/>
    </xf>
    <xf numFmtId="0" fontId="4" fillId="3" borderId="10" xfId="0" applyFont="1" applyFill="1" applyBorder="1" applyAlignment="1">
      <alignment horizontal="right" vertical="top" wrapText="1" indent="1"/>
    </xf>
    <xf numFmtId="0" fontId="1" fillId="3" borderId="8" xfId="0" applyFont="1" applyFill="1" applyBorder="1" applyAlignment="1">
      <alignment horizontal="center" vertical="top" wrapText="1"/>
    </xf>
    <xf numFmtId="0" fontId="4" fillId="3" borderId="6" xfId="0" applyFont="1" applyFill="1" applyBorder="1" applyAlignment="1">
      <alignment horizontal="right" vertical="center" wrapText="1" indent="1"/>
    </xf>
    <xf numFmtId="0" fontId="4" fillId="3" borderId="7" xfId="0" applyFont="1" applyFill="1" applyBorder="1" applyAlignment="1">
      <alignment horizontal="right" vertical="center" wrapText="1" inden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2" borderId="9" xfId="0" applyFont="1" applyFill="1" applyBorder="1" applyAlignment="1">
      <alignment horizontal="center" vertical="top"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4" borderId="6"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7"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2" borderId="11" xfId="0" applyFont="1" applyFill="1" applyBorder="1" applyAlignment="1">
      <alignment horizontal="left" wrapText="1"/>
    </xf>
    <xf numFmtId="0" fontId="1" fillId="2" borderId="0" xfId="0" applyFont="1" applyFill="1" applyAlignment="1">
      <alignment horizontal="left" wrapText="1"/>
    </xf>
    <xf numFmtId="0" fontId="4" fillId="4" borderId="6" xfId="0" applyFont="1" applyFill="1" applyBorder="1" applyAlignment="1">
      <alignment horizontal="right" vertical="top" wrapText="1" indent="1"/>
    </xf>
    <xf numFmtId="0" fontId="4" fillId="4" borderId="7" xfId="0" applyFont="1" applyFill="1" applyBorder="1" applyAlignment="1">
      <alignment horizontal="right" vertical="top" wrapText="1" indent="1"/>
    </xf>
    <xf numFmtId="165" fontId="8" fillId="0" borderId="6" xfId="0" applyNumberFormat="1" applyFont="1" applyBorder="1" applyAlignment="1">
      <alignment horizontal="left" vertical="top" indent="2" shrinkToFit="1"/>
    </xf>
    <xf numFmtId="165" fontId="8" fillId="0" borderId="7" xfId="0" applyNumberFormat="1" applyFont="1" applyBorder="1" applyAlignment="1">
      <alignment horizontal="left" vertical="top" indent="2" shrinkToFit="1"/>
    </xf>
    <xf numFmtId="0" fontId="7" fillId="0" borderId="0" xfId="0" applyFont="1" applyAlignment="1">
      <alignment horizontal="left" wrapText="1"/>
    </xf>
    <xf numFmtId="0" fontId="10" fillId="5" borderId="5" xfId="0" applyFont="1" applyFill="1" applyBorder="1" applyAlignment="1">
      <alignment horizontal="left" vertical="top" wrapText="1"/>
    </xf>
    <xf numFmtId="0" fontId="10" fillId="5" borderId="6" xfId="0" applyFont="1" applyFill="1" applyBorder="1" applyAlignment="1">
      <alignment horizontal="left" vertical="top" wrapText="1"/>
    </xf>
    <xf numFmtId="0" fontId="10" fillId="5" borderId="8" xfId="0" applyFont="1" applyFill="1" applyBorder="1" applyAlignment="1">
      <alignment horizontal="left" vertical="top" wrapText="1"/>
    </xf>
    <xf numFmtId="0" fontId="10" fillId="5" borderId="7" xfId="0" applyFont="1" applyFill="1" applyBorder="1" applyAlignment="1">
      <alignment horizontal="left" vertical="top" wrapText="1"/>
    </xf>
    <xf numFmtId="0" fontId="0" fillId="0" borderId="0" xfId="0" applyAlignment="1">
      <alignment horizontal="left" wrapText="1"/>
    </xf>
    <xf numFmtId="1" fontId="12" fillId="0" borderId="5" xfId="0" applyNumberFormat="1" applyFont="1" applyBorder="1" applyAlignment="1">
      <alignment horizontal="left" vertical="top" shrinkToFi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1" fontId="12" fillId="6" borderId="5" xfId="0" applyNumberFormat="1" applyFont="1" applyFill="1" applyBorder="1" applyAlignment="1">
      <alignment horizontal="left" vertical="top" shrinkToFit="1"/>
    </xf>
    <xf numFmtId="0" fontId="10" fillId="6" borderId="6" xfId="0" applyFont="1" applyFill="1" applyBorder="1" applyAlignment="1">
      <alignment horizontal="left" vertical="top" wrapText="1"/>
    </xf>
    <xf numFmtId="0" fontId="10" fillId="6" borderId="8" xfId="0" applyFont="1" applyFill="1" applyBorder="1" applyAlignment="1">
      <alignment horizontal="left" vertical="top" wrapText="1"/>
    </xf>
    <xf numFmtId="0" fontId="10" fillId="6" borderId="7" xfId="0" applyFont="1" applyFill="1" applyBorder="1" applyAlignment="1">
      <alignment horizontal="left" vertical="top" wrapText="1"/>
    </xf>
    <xf numFmtId="167" fontId="12" fillId="0" borderId="5" xfId="0" applyNumberFormat="1" applyFont="1" applyBorder="1" applyAlignment="1">
      <alignment horizontal="left" vertical="top" shrinkToFi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 fillId="0" borderId="0" xfId="0" applyFont="1" applyBorder="1" applyAlignment="1">
      <alignment horizontal="left" vertical="top" wrapText="1"/>
    </xf>
    <xf numFmtId="0" fontId="1" fillId="0" borderId="4" xfId="0" applyFont="1" applyBorder="1" applyAlignment="1">
      <alignment horizontal="left"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9" fillId="0" borderId="10" xfId="0" applyFont="1" applyBorder="1" applyAlignment="1">
      <alignment horizontal="center" vertical="top" wrapText="1"/>
    </xf>
    <xf numFmtId="1" fontId="6" fillId="0" borderId="1" xfId="0" applyNumberFormat="1" applyFont="1" applyBorder="1" applyAlignment="1">
      <alignment horizontal="left" vertical="top" shrinkToFit="1"/>
    </xf>
    <xf numFmtId="0" fontId="7" fillId="0" borderId="8" xfId="0" applyFont="1" applyBorder="1" applyAlignment="1">
      <alignment horizontal="center" vertical="top" wrapText="1"/>
    </xf>
    <xf numFmtId="0" fontId="9" fillId="0" borderId="0"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D86A-A0B7-4DCD-BD82-98AE6A6122DC}">
  <sheetPr>
    <pageSetUpPr fitToPage="1"/>
  </sheetPr>
  <dimension ref="A1:AN71"/>
  <sheetViews>
    <sheetView tabSelected="1" topLeftCell="A2" zoomScaleNormal="100" workbookViewId="0">
      <selection activeCell="U22" sqref="U22"/>
    </sheetView>
  </sheetViews>
  <sheetFormatPr defaultColWidth="9.33203125" defaultRowHeight="12.75" x14ac:dyDescent="0.2"/>
  <cols>
    <col min="1" max="1" width="5.83203125" style="1" customWidth="1"/>
    <col min="2" max="2" width="3.33203125" style="1" customWidth="1"/>
    <col min="3" max="3" width="22" style="1" customWidth="1"/>
    <col min="4" max="4" width="14" style="1" customWidth="1"/>
    <col min="5" max="5" width="10" style="1" customWidth="1"/>
    <col min="6" max="6" width="10.5" style="1" customWidth="1"/>
    <col min="7" max="7" width="8" style="1" customWidth="1"/>
    <col min="8" max="8" width="2.1640625" style="1" customWidth="1"/>
    <col min="9" max="9" width="14" style="1" customWidth="1"/>
    <col min="10" max="10" width="1.1640625" style="1" customWidth="1"/>
    <col min="11" max="11" width="9.33203125" style="1"/>
    <col min="12" max="12" width="10.5" style="1" customWidth="1"/>
    <col min="13" max="13" width="1.1640625" style="1" customWidth="1"/>
    <col min="14" max="14" width="14" style="1" customWidth="1"/>
    <col min="15" max="15" width="11.5" style="1" customWidth="1"/>
    <col min="16" max="16" width="19.83203125" style="1" customWidth="1"/>
    <col min="17" max="17" width="2.1640625" style="1" customWidth="1"/>
    <col min="18" max="34" width="9.33203125" style="1"/>
    <col min="35" max="35" width="5.1640625" style="1" customWidth="1"/>
    <col min="36" max="36" width="4.1640625" style="1" hidden="1" customWidth="1"/>
    <col min="37" max="37" width="9.33203125" style="1" hidden="1" customWidth="1"/>
    <col min="38" max="16384" width="9.33203125" style="1"/>
  </cols>
  <sheetData>
    <row r="1" spans="1:40" ht="68.25" customHeight="1" x14ac:dyDescent="0.2">
      <c r="A1" s="125" t="s">
        <v>35</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row>
    <row r="2" spans="1:40" x14ac:dyDescent="0.2">
      <c r="A2" s="51"/>
      <c r="B2" s="51"/>
      <c r="C2" s="51"/>
      <c r="D2" s="51"/>
      <c r="E2" s="51"/>
      <c r="F2" s="51"/>
      <c r="G2" s="51"/>
      <c r="H2" s="51"/>
      <c r="I2" s="51"/>
      <c r="J2" s="51"/>
      <c r="K2" s="51"/>
      <c r="L2" s="51"/>
      <c r="M2" s="51"/>
      <c r="N2" s="51"/>
      <c r="O2" s="51"/>
      <c r="P2" s="51"/>
      <c r="Q2" s="51"/>
    </row>
    <row r="3" spans="1:40" customFormat="1" ht="15.75" customHeight="1" x14ac:dyDescent="0.2">
      <c r="A3" s="126" t="s">
        <v>36</v>
      </c>
      <c r="B3" s="127" t="s">
        <v>37</v>
      </c>
      <c r="C3" s="128"/>
      <c r="D3" s="128"/>
      <c r="E3" s="128"/>
      <c r="F3" s="128"/>
      <c r="G3" s="128"/>
      <c r="H3" s="128"/>
      <c r="I3" s="128"/>
      <c r="J3" s="128"/>
      <c r="K3" s="128"/>
      <c r="L3" s="128"/>
      <c r="M3" s="128"/>
      <c r="N3" s="128"/>
      <c r="O3" s="128"/>
      <c r="P3" s="128"/>
      <c r="Q3" s="128"/>
      <c r="R3" s="128"/>
      <c r="S3" s="129"/>
      <c r="T3" s="127" t="s">
        <v>38</v>
      </c>
      <c r="U3" s="128"/>
      <c r="V3" s="128"/>
      <c r="W3" s="128"/>
      <c r="X3" s="128"/>
      <c r="Y3" s="128"/>
      <c r="Z3" s="128"/>
      <c r="AA3" s="128"/>
      <c r="AB3" s="128"/>
      <c r="AC3" s="128"/>
      <c r="AD3" s="128"/>
      <c r="AE3" s="128"/>
      <c r="AF3" s="128"/>
      <c r="AG3" s="128"/>
      <c r="AH3" s="128"/>
      <c r="AI3" s="128"/>
      <c r="AJ3" s="128"/>
      <c r="AK3" s="129"/>
      <c r="AL3" s="130"/>
      <c r="AM3" s="130"/>
    </row>
    <row r="4" spans="1:40" customFormat="1" ht="15.75" customHeight="1" x14ac:dyDescent="0.2">
      <c r="A4" s="131">
        <v>1</v>
      </c>
      <c r="B4" s="132" t="s">
        <v>39</v>
      </c>
      <c r="C4" s="133"/>
      <c r="D4" s="133"/>
      <c r="E4" s="133"/>
      <c r="F4" s="133"/>
      <c r="G4" s="133"/>
      <c r="H4" s="133"/>
      <c r="I4" s="133"/>
      <c r="J4" s="133"/>
      <c r="K4" s="133"/>
      <c r="L4" s="133"/>
      <c r="M4" s="133"/>
      <c r="N4" s="133"/>
      <c r="O4" s="133"/>
      <c r="P4" s="133"/>
      <c r="Q4" s="133"/>
      <c r="R4" s="133"/>
      <c r="S4" s="134"/>
      <c r="T4" s="135" t="s">
        <v>40</v>
      </c>
      <c r="U4" s="136"/>
      <c r="V4" s="136"/>
      <c r="W4" s="136"/>
      <c r="X4" s="136"/>
      <c r="Y4" s="136"/>
      <c r="Z4" s="136"/>
      <c r="AA4" s="136"/>
      <c r="AB4" s="136"/>
      <c r="AC4" s="136"/>
      <c r="AD4" s="136"/>
      <c r="AE4" s="136"/>
      <c r="AF4" s="136"/>
      <c r="AG4" s="136"/>
      <c r="AH4" s="136"/>
      <c r="AI4" s="136"/>
      <c r="AJ4" s="136"/>
      <c r="AK4" s="137"/>
      <c r="AL4" s="130"/>
      <c r="AM4" s="130"/>
    </row>
    <row r="5" spans="1:40" customFormat="1" ht="15.75" customHeight="1" x14ac:dyDescent="0.2">
      <c r="A5" s="131">
        <v>2</v>
      </c>
      <c r="B5" s="132" t="s">
        <v>41</v>
      </c>
      <c r="C5" s="133"/>
      <c r="D5" s="133"/>
      <c r="E5" s="133"/>
      <c r="F5" s="133"/>
      <c r="G5" s="133"/>
      <c r="H5" s="133"/>
      <c r="I5" s="133"/>
      <c r="J5" s="133"/>
      <c r="K5" s="133"/>
      <c r="L5" s="133"/>
      <c r="M5" s="133"/>
      <c r="N5" s="133"/>
      <c r="O5" s="133"/>
      <c r="P5" s="133"/>
      <c r="Q5" s="133"/>
      <c r="R5" s="133"/>
      <c r="S5" s="134"/>
      <c r="T5" s="138"/>
      <c r="U5" s="139"/>
      <c r="V5" s="139"/>
      <c r="W5" s="139"/>
      <c r="X5" s="139"/>
      <c r="Y5" s="139"/>
      <c r="Z5" s="139"/>
      <c r="AA5" s="139"/>
      <c r="AB5" s="139"/>
      <c r="AC5" s="139"/>
      <c r="AD5" s="139"/>
      <c r="AE5" s="139"/>
      <c r="AF5" s="139"/>
      <c r="AG5" s="139"/>
      <c r="AH5" s="139"/>
      <c r="AI5" s="139"/>
      <c r="AJ5" s="139"/>
      <c r="AK5" s="140"/>
      <c r="AL5" s="130"/>
      <c r="AM5" s="130"/>
    </row>
    <row r="6" spans="1:40" customFormat="1" ht="15.75" customHeight="1" x14ac:dyDescent="0.2">
      <c r="A6" s="131">
        <v>3</v>
      </c>
      <c r="B6" s="132" t="s">
        <v>42</v>
      </c>
      <c r="C6" s="133"/>
      <c r="D6" s="133"/>
      <c r="E6" s="133"/>
      <c r="F6" s="133"/>
      <c r="G6" s="133"/>
      <c r="H6" s="133"/>
      <c r="I6" s="133"/>
      <c r="J6" s="133"/>
      <c r="K6" s="133"/>
      <c r="L6" s="133"/>
      <c r="M6" s="133"/>
      <c r="N6" s="133"/>
      <c r="O6" s="133"/>
      <c r="P6" s="133"/>
      <c r="Q6" s="133"/>
      <c r="R6" s="133"/>
      <c r="S6" s="134"/>
      <c r="T6" s="138"/>
      <c r="U6" s="139"/>
      <c r="V6" s="139"/>
      <c r="W6" s="139"/>
      <c r="X6" s="139"/>
      <c r="Y6" s="139"/>
      <c r="Z6" s="139"/>
      <c r="AA6" s="139"/>
      <c r="AB6" s="139"/>
      <c r="AC6" s="139"/>
      <c r="AD6" s="139"/>
      <c r="AE6" s="139"/>
      <c r="AF6" s="139"/>
      <c r="AG6" s="139"/>
      <c r="AH6" s="139"/>
      <c r="AI6" s="139"/>
      <c r="AJ6" s="139"/>
      <c r="AK6" s="140"/>
      <c r="AL6" s="130"/>
      <c r="AM6" s="130"/>
    </row>
    <row r="7" spans="1:40" customFormat="1" ht="15.75" customHeight="1" x14ac:dyDescent="0.2">
      <c r="A7" s="131">
        <v>4</v>
      </c>
      <c r="B7" s="132" t="s">
        <v>43</v>
      </c>
      <c r="C7" s="133"/>
      <c r="D7" s="133"/>
      <c r="E7" s="133"/>
      <c r="F7" s="133"/>
      <c r="G7" s="133"/>
      <c r="H7" s="133"/>
      <c r="I7" s="133"/>
      <c r="J7" s="133"/>
      <c r="K7" s="133"/>
      <c r="L7" s="133"/>
      <c r="M7" s="133"/>
      <c r="N7" s="133"/>
      <c r="O7" s="133"/>
      <c r="P7" s="133"/>
      <c r="Q7" s="133"/>
      <c r="R7" s="133"/>
      <c r="S7" s="134"/>
      <c r="T7" s="138"/>
      <c r="U7" s="139"/>
      <c r="V7" s="139"/>
      <c r="W7" s="139"/>
      <c r="X7" s="139"/>
      <c r="Y7" s="139"/>
      <c r="Z7" s="139"/>
      <c r="AA7" s="139"/>
      <c r="AB7" s="139"/>
      <c r="AC7" s="139"/>
      <c r="AD7" s="139"/>
      <c r="AE7" s="139"/>
      <c r="AF7" s="139"/>
      <c r="AG7" s="139"/>
      <c r="AH7" s="139"/>
      <c r="AI7" s="139"/>
      <c r="AJ7" s="139"/>
      <c r="AK7" s="140"/>
      <c r="AL7" s="130"/>
      <c r="AM7" s="130"/>
    </row>
    <row r="8" spans="1:40" customFormat="1" ht="48.75" customHeight="1" x14ac:dyDescent="0.2">
      <c r="A8" s="131">
        <v>5</v>
      </c>
      <c r="B8" s="141" t="s">
        <v>44</v>
      </c>
      <c r="C8" s="142"/>
      <c r="D8" s="142"/>
      <c r="E8" s="142"/>
      <c r="F8" s="142"/>
      <c r="G8" s="142"/>
      <c r="H8" s="142"/>
      <c r="I8" s="142"/>
      <c r="J8" s="142"/>
      <c r="K8" s="142"/>
      <c r="L8" s="142"/>
      <c r="M8" s="142"/>
      <c r="N8" s="142"/>
      <c r="O8" s="142"/>
      <c r="P8" s="142"/>
      <c r="Q8" s="142"/>
      <c r="R8" s="142"/>
      <c r="S8" s="143"/>
      <c r="T8" s="138"/>
      <c r="U8" s="139"/>
      <c r="V8" s="139"/>
      <c r="W8" s="139"/>
      <c r="X8" s="139"/>
      <c r="Y8" s="139"/>
      <c r="Z8" s="139"/>
      <c r="AA8" s="139"/>
      <c r="AB8" s="139"/>
      <c r="AC8" s="139"/>
      <c r="AD8" s="139"/>
      <c r="AE8" s="139"/>
      <c r="AF8" s="139"/>
      <c r="AG8" s="139"/>
      <c r="AH8" s="139"/>
      <c r="AI8" s="139"/>
      <c r="AJ8" s="139"/>
      <c r="AK8" s="140"/>
      <c r="AL8" s="144"/>
      <c r="AM8" s="144"/>
    </row>
    <row r="9" spans="1:40" customFormat="1" ht="15.75" customHeight="1" x14ac:dyDescent="0.2">
      <c r="A9" s="131">
        <v>6</v>
      </c>
      <c r="B9" s="132" t="s">
        <v>45</v>
      </c>
      <c r="C9" s="133"/>
      <c r="D9" s="133"/>
      <c r="E9" s="133"/>
      <c r="F9" s="133"/>
      <c r="G9" s="133"/>
      <c r="H9" s="133"/>
      <c r="I9" s="133"/>
      <c r="J9" s="133"/>
      <c r="K9" s="133"/>
      <c r="L9" s="133"/>
      <c r="M9" s="133"/>
      <c r="N9" s="133"/>
      <c r="O9" s="133"/>
      <c r="P9" s="133"/>
      <c r="Q9" s="133"/>
      <c r="R9" s="133"/>
      <c r="S9" s="134"/>
      <c r="T9" s="138"/>
      <c r="U9" s="139"/>
      <c r="V9" s="139"/>
      <c r="W9" s="139"/>
      <c r="X9" s="139"/>
      <c r="Y9" s="139"/>
      <c r="Z9" s="139"/>
      <c r="AA9" s="139"/>
      <c r="AB9" s="139"/>
      <c r="AC9" s="139"/>
      <c r="AD9" s="139"/>
      <c r="AE9" s="139"/>
      <c r="AF9" s="139"/>
      <c r="AG9" s="139"/>
      <c r="AH9" s="139"/>
      <c r="AI9" s="139"/>
      <c r="AJ9" s="139"/>
      <c r="AK9" s="140"/>
      <c r="AL9" s="130"/>
      <c r="AM9" s="130"/>
    </row>
    <row r="10" spans="1:40" customFormat="1" ht="31.5" customHeight="1" x14ac:dyDescent="0.2">
      <c r="A10" s="131">
        <v>7</v>
      </c>
      <c r="B10" s="141" t="s">
        <v>46</v>
      </c>
      <c r="C10" s="142"/>
      <c r="D10" s="142"/>
      <c r="E10" s="142"/>
      <c r="F10" s="142"/>
      <c r="G10" s="142"/>
      <c r="H10" s="142"/>
      <c r="I10" s="142"/>
      <c r="J10" s="142"/>
      <c r="K10" s="142"/>
      <c r="L10" s="142"/>
      <c r="M10" s="142"/>
      <c r="N10" s="142"/>
      <c r="O10" s="142"/>
      <c r="P10" s="142"/>
      <c r="Q10" s="142"/>
      <c r="R10" s="142"/>
      <c r="S10" s="143"/>
      <c r="T10" s="138"/>
      <c r="U10" s="139"/>
      <c r="V10" s="139"/>
      <c r="W10" s="139"/>
      <c r="X10" s="139"/>
      <c r="Y10" s="139"/>
      <c r="Z10" s="139"/>
      <c r="AA10" s="139"/>
      <c r="AB10" s="139"/>
      <c r="AC10" s="139"/>
      <c r="AD10" s="139"/>
      <c r="AE10" s="139"/>
      <c r="AF10" s="139"/>
      <c r="AG10" s="139"/>
      <c r="AH10" s="139"/>
      <c r="AI10" s="139"/>
      <c r="AJ10" s="139"/>
      <c r="AK10" s="140"/>
      <c r="AL10" s="145"/>
      <c r="AM10" s="145"/>
    </row>
    <row r="11" spans="1:40" customFormat="1" ht="15.75" customHeight="1" x14ac:dyDescent="0.2">
      <c r="A11" s="131">
        <v>8</v>
      </c>
      <c r="B11" s="132" t="s">
        <v>47</v>
      </c>
      <c r="C11" s="133"/>
      <c r="D11" s="133"/>
      <c r="E11" s="133"/>
      <c r="F11" s="133"/>
      <c r="G11" s="133"/>
      <c r="H11" s="133"/>
      <c r="I11" s="133"/>
      <c r="J11" s="133"/>
      <c r="K11" s="133"/>
      <c r="L11" s="133"/>
      <c r="M11" s="133"/>
      <c r="N11" s="133"/>
      <c r="O11" s="133"/>
      <c r="P11" s="133"/>
      <c r="Q11" s="133"/>
      <c r="R11" s="133"/>
      <c r="S11" s="134"/>
      <c r="T11" s="138"/>
      <c r="U11" s="139"/>
      <c r="V11" s="139"/>
      <c r="W11" s="139"/>
      <c r="X11" s="139"/>
      <c r="Y11" s="139"/>
      <c r="Z11" s="139"/>
      <c r="AA11" s="139"/>
      <c r="AB11" s="139"/>
      <c r="AC11" s="139"/>
      <c r="AD11" s="139"/>
      <c r="AE11" s="139"/>
      <c r="AF11" s="139"/>
      <c r="AG11" s="139"/>
      <c r="AH11" s="139"/>
      <c r="AI11" s="139"/>
      <c r="AJ11" s="139"/>
      <c r="AK11" s="140"/>
      <c r="AL11" s="130"/>
      <c r="AM11" s="130"/>
    </row>
    <row r="12" spans="1:40" customFormat="1" ht="31.5" customHeight="1" x14ac:dyDescent="0.2">
      <c r="A12" s="131">
        <v>9</v>
      </c>
      <c r="B12" s="141" t="s">
        <v>48</v>
      </c>
      <c r="C12" s="142"/>
      <c r="D12" s="142"/>
      <c r="E12" s="142"/>
      <c r="F12" s="142"/>
      <c r="G12" s="142"/>
      <c r="H12" s="142"/>
      <c r="I12" s="142"/>
      <c r="J12" s="142"/>
      <c r="K12" s="142"/>
      <c r="L12" s="142"/>
      <c r="M12" s="142"/>
      <c r="N12" s="142"/>
      <c r="O12" s="142"/>
      <c r="P12" s="142"/>
      <c r="Q12" s="142"/>
      <c r="R12" s="142"/>
      <c r="S12" s="143"/>
      <c r="T12" s="146"/>
      <c r="U12" s="147"/>
      <c r="V12" s="147"/>
      <c r="W12" s="147"/>
      <c r="X12" s="147"/>
      <c r="Y12" s="147"/>
      <c r="Z12" s="147"/>
      <c r="AA12" s="147"/>
      <c r="AB12" s="147"/>
      <c r="AC12" s="147"/>
      <c r="AD12" s="147"/>
      <c r="AE12" s="147"/>
      <c r="AF12" s="147"/>
      <c r="AG12" s="147"/>
      <c r="AH12" s="147"/>
      <c r="AI12" s="147"/>
      <c r="AJ12" s="147"/>
      <c r="AK12" s="148"/>
      <c r="AL12" s="145"/>
      <c r="AM12" s="145"/>
    </row>
    <row r="13" spans="1:40" customFormat="1" ht="15.75" customHeight="1" x14ac:dyDescent="0.2">
      <c r="A13" s="149">
        <v>10</v>
      </c>
      <c r="B13" s="150" t="s">
        <v>49</v>
      </c>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2"/>
      <c r="AL13" s="130"/>
      <c r="AM13" s="130"/>
    </row>
    <row r="14" spans="1:40" customFormat="1" ht="15.75" customHeight="1" x14ac:dyDescent="0.2">
      <c r="A14" s="153">
        <v>10.1</v>
      </c>
      <c r="B14" s="154" t="s">
        <v>50</v>
      </c>
      <c r="C14" s="155"/>
      <c r="D14" s="155"/>
      <c r="E14" s="155"/>
      <c r="F14" s="155"/>
      <c r="G14" s="155"/>
      <c r="H14" s="155"/>
      <c r="I14" s="155"/>
      <c r="J14" s="155"/>
      <c r="K14" s="155"/>
      <c r="L14" s="155"/>
      <c r="M14" s="155"/>
      <c r="N14" s="155"/>
      <c r="O14" s="155"/>
      <c r="P14" s="155"/>
      <c r="Q14" s="155"/>
      <c r="R14" s="155"/>
      <c r="S14" s="156"/>
      <c r="T14" s="154" t="s">
        <v>51</v>
      </c>
      <c r="U14" s="155"/>
      <c r="V14" s="155"/>
      <c r="W14" s="155"/>
      <c r="X14" s="155"/>
      <c r="Y14" s="155"/>
      <c r="Z14" s="155"/>
      <c r="AA14" s="155"/>
      <c r="AB14" s="155"/>
      <c r="AC14" s="155"/>
      <c r="AD14" s="155"/>
      <c r="AE14" s="155"/>
      <c r="AF14" s="155"/>
      <c r="AG14" s="155"/>
      <c r="AH14" s="155"/>
      <c r="AI14" s="155"/>
      <c r="AJ14" s="155"/>
      <c r="AK14" s="156"/>
      <c r="AL14" s="130"/>
      <c r="AM14" s="130"/>
    </row>
    <row r="15" spans="1:40" customFormat="1" ht="15.75" customHeight="1" x14ac:dyDescent="0.2">
      <c r="A15" s="153">
        <v>10.199999999999999</v>
      </c>
      <c r="B15" s="154" t="s">
        <v>52</v>
      </c>
      <c r="C15" s="155"/>
      <c r="D15" s="155"/>
      <c r="E15" s="155"/>
      <c r="F15" s="155"/>
      <c r="G15" s="155"/>
      <c r="H15" s="155"/>
      <c r="I15" s="155"/>
      <c r="J15" s="155"/>
      <c r="K15" s="155"/>
      <c r="L15" s="155"/>
      <c r="M15" s="155"/>
      <c r="N15" s="155"/>
      <c r="O15" s="155"/>
      <c r="P15" s="155"/>
      <c r="Q15" s="155"/>
      <c r="R15" s="155"/>
      <c r="S15" s="156"/>
      <c r="T15" s="154" t="s">
        <v>51</v>
      </c>
      <c r="U15" s="155"/>
      <c r="V15" s="155"/>
      <c r="W15" s="155"/>
      <c r="X15" s="155"/>
      <c r="Y15" s="155"/>
      <c r="Z15" s="155"/>
      <c r="AA15" s="155"/>
      <c r="AB15" s="155"/>
      <c r="AC15" s="155"/>
      <c r="AD15" s="155"/>
      <c r="AE15" s="155"/>
      <c r="AF15" s="155"/>
      <c r="AG15" s="155"/>
      <c r="AH15" s="155"/>
      <c r="AI15" s="155"/>
      <c r="AJ15" s="155"/>
      <c r="AK15" s="156"/>
      <c r="AL15" s="130"/>
      <c r="AM15" s="130"/>
    </row>
    <row r="16" spans="1:40" customFormat="1" ht="15.75" customHeight="1" x14ac:dyDescent="0.2">
      <c r="A16" s="153">
        <v>10.3</v>
      </c>
      <c r="B16" s="154" t="s">
        <v>53</v>
      </c>
      <c r="C16" s="155"/>
      <c r="D16" s="155"/>
      <c r="E16" s="155"/>
      <c r="F16" s="155"/>
      <c r="G16" s="155"/>
      <c r="H16" s="155"/>
      <c r="I16" s="155"/>
      <c r="J16" s="155"/>
      <c r="K16" s="155"/>
      <c r="L16" s="155"/>
      <c r="M16" s="155"/>
      <c r="N16" s="155"/>
      <c r="O16" s="155"/>
      <c r="P16" s="155"/>
      <c r="Q16" s="155"/>
      <c r="R16" s="155"/>
      <c r="S16" s="156"/>
      <c r="T16" s="154" t="s">
        <v>51</v>
      </c>
      <c r="U16" s="155"/>
      <c r="V16" s="155"/>
      <c r="W16" s="155"/>
      <c r="X16" s="155"/>
      <c r="Y16" s="155"/>
      <c r="Z16" s="155"/>
      <c r="AA16" s="155"/>
      <c r="AB16" s="155"/>
      <c r="AC16" s="155"/>
      <c r="AD16" s="155"/>
      <c r="AE16" s="155"/>
      <c r="AF16" s="155"/>
      <c r="AG16" s="155"/>
      <c r="AH16" s="155"/>
      <c r="AI16" s="155"/>
      <c r="AJ16" s="155"/>
      <c r="AK16" s="156"/>
      <c r="AL16" s="130"/>
      <c r="AM16" s="130"/>
    </row>
    <row r="17" spans="1:17" ht="15.75" customHeight="1" x14ac:dyDescent="0.2">
      <c r="A17" s="16"/>
      <c r="B17" s="16"/>
      <c r="C17" s="16"/>
      <c r="D17" s="16"/>
      <c r="E17" s="16"/>
      <c r="F17" s="16"/>
      <c r="G17" s="16"/>
      <c r="H17" s="16"/>
      <c r="I17" s="16"/>
      <c r="J17" s="16"/>
      <c r="K17" s="16"/>
      <c r="L17" s="16"/>
      <c r="M17" s="16"/>
      <c r="N17" s="16"/>
      <c r="O17" s="16"/>
      <c r="P17" s="16"/>
      <c r="Q17" s="16"/>
    </row>
    <row r="18" spans="1:17" ht="15.75" customHeight="1" x14ac:dyDescent="0.2">
      <c r="A18" s="66" t="s">
        <v>27</v>
      </c>
      <c r="B18" s="67"/>
      <c r="C18" s="67"/>
      <c r="D18" s="67"/>
      <c r="E18" s="67"/>
      <c r="F18" s="67"/>
      <c r="G18" s="67"/>
      <c r="H18" s="67"/>
      <c r="I18" s="67"/>
      <c r="J18" s="67"/>
      <c r="K18" s="67"/>
      <c r="L18" s="67"/>
      <c r="M18" s="67"/>
      <c r="N18" s="67"/>
      <c r="O18" s="67"/>
      <c r="P18" s="67"/>
      <c r="Q18" s="68"/>
    </row>
    <row r="19" spans="1:17" ht="15.75" customHeight="1" x14ac:dyDescent="0.2">
      <c r="A19" s="22" t="s">
        <v>0</v>
      </c>
      <c r="B19" s="23"/>
      <c r="C19" s="22" t="s">
        <v>1</v>
      </c>
      <c r="D19" s="24"/>
      <c r="E19" s="23"/>
      <c r="F19" s="69" t="s">
        <v>2</v>
      </c>
      <c r="G19" s="70"/>
      <c r="H19" s="71" t="s">
        <v>13</v>
      </c>
      <c r="I19" s="72"/>
      <c r="J19" s="73"/>
      <c r="K19" s="74" t="s">
        <v>14</v>
      </c>
      <c r="L19" s="75"/>
      <c r="M19" s="76" t="s">
        <v>3</v>
      </c>
      <c r="N19" s="77"/>
      <c r="O19" s="77"/>
      <c r="P19" s="77"/>
      <c r="Q19" s="78"/>
    </row>
    <row r="20" spans="1:17" ht="15.75" customHeight="1" x14ac:dyDescent="0.2">
      <c r="A20" s="55"/>
      <c r="B20" s="56"/>
      <c r="C20" s="55"/>
      <c r="D20" s="57"/>
      <c r="E20" s="56"/>
      <c r="F20" s="55"/>
      <c r="G20" s="56"/>
      <c r="H20" s="58" t="s">
        <v>15</v>
      </c>
      <c r="I20" s="59"/>
      <c r="J20" s="60"/>
      <c r="K20" s="61" t="s">
        <v>28</v>
      </c>
      <c r="L20" s="62"/>
      <c r="M20" s="63" t="s">
        <v>4</v>
      </c>
      <c r="N20" s="64"/>
      <c r="O20" s="65"/>
      <c r="P20" s="85" t="s">
        <v>5</v>
      </c>
      <c r="Q20" s="86"/>
    </row>
    <row r="21" spans="1:17" ht="15.75" customHeight="1" x14ac:dyDescent="0.2">
      <c r="A21" s="27">
        <v>1</v>
      </c>
      <c r="B21" s="28"/>
      <c r="C21" s="33" t="s">
        <v>26</v>
      </c>
      <c r="D21" s="34"/>
      <c r="E21" s="35"/>
      <c r="F21" s="41" t="s">
        <v>6</v>
      </c>
      <c r="G21" s="42"/>
      <c r="H21" s="79">
        <f>1024.1*0.98</f>
        <v>1003.6179999999999</v>
      </c>
      <c r="I21" s="80"/>
      <c r="J21" s="81"/>
      <c r="K21" s="52">
        <f>0.83*0.98</f>
        <v>0.8133999999999999</v>
      </c>
      <c r="L21" s="54"/>
      <c r="M21" s="52">
        <f>191.1*0.98</f>
        <v>187.27799999999999</v>
      </c>
      <c r="N21" s="53"/>
      <c r="O21" s="54"/>
      <c r="P21" s="52">
        <f>833*0.98</f>
        <v>816.34</v>
      </c>
      <c r="Q21" s="54"/>
    </row>
    <row r="22" spans="1:17" ht="48.75" customHeight="1" x14ac:dyDescent="0.2">
      <c r="A22" s="29"/>
      <c r="B22" s="30"/>
      <c r="C22" s="36"/>
      <c r="D22" s="157"/>
      <c r="E22" s="37"/>
      <c r="F22" s="43" t="s">
        <v>7</v>
      </c>
      <c r="G22" s="44"/>
      <c r="H22" s="79">
        <f>1004.5*0.98</f>
        <v>984.41</v>
      </c>
      <c r="I22" s="80"/>
      <c r="J22" s="81"/>
      <c r="K22" s="52">
        <f>0.78*0.98</f>
        <v>0.76439999999999997</v>
      </c>
      <c r="L22" s="54"/>
      <c r="M22" s="52">
        <f>191.1*0.98</f>
        <v>187.27799999999999</v>
      </c>
      <c r="N22" s="53"/>
      <c r="O22" s="54"/>
      <c r="P22" s="52">
        <f>813.4*0.98</f>
        <v>797.13199999999995</v>
      </c>
      <c r="Q22" s="54"/>
    </row>
    <row r="23" spans="1:17" ht="15.75" customHeight="1" x14ac:dyDescent="0.2">
      <c r="A23" s="29"/>
      <c r="B23" s="30"/>
      <c r="C23" s="36"/>
      <c r="D23" s="157"/>
      <c r="E23" s="37"/>
      <c r="F23" s="43" t="s">
        <v>8</v>
      </c>
      <c r="G23" s="44"/>
      <c r="H23" s="82">
        <f>984.9*0.98</f>
        <v>965.202</v>
      </c>
      <c r="I23" s="83"/>
      <c r="J23" s="84"/>
      <c r="K23" s="52">
        <f>0.74*0.98</f>
        <v>0.72519999999999996</v>
      </c>
      <c r="L23" s="54"/>
      <c r="M23" s="52">
        <f>191.1*0.98</f>
        <v>187.27799999999999</v>
      </c>
      <c r="N23" s="53"/>
      <c r="O23" s="54"/>
      <c r="P23" s="52">
        <f>793.8*0.98</f>
        <v>777.92399999999998</v>
      </c>
      <c r="Q23" s="54"/>
    </row>
    <row r="24" spans="1:17" ht="31.5" customHeight="1" x14ac:dyDescent="0.2">
      <c r="A24" s="29"/>
      <c r="B24" s="30"/>
      <c r="C24" s="36"/>
      <c r="D24" s="157"/>
      <c r="E24" s="37"/>
      <c r="F24" s="43" t="s">
        <v>9</v>
      </c>
      <c r="G24" s="44"/>
      <c r="H24" s="82">
        <f>962.85*0.98</f>
        <v>943.59299999999996</v>
      </c>
      <c r="I24" s="83"/>
      <c r="J24" s="84"/>
      <c r="K24" s="52">
        <f>0.69*0.98</f>
        <v>0.67619999999999991</v>
      </c>
      <c r="L24" s="54"/>
      <c r="M24" s="52">
        <f>188.65*0.98</f>
        <v>184.87700000000001</v>
      </c>
      <c r="N24" s="53"/>
      <c r="O24" s="54"/>
      <c r="P24" s="52">
        <f>774.2*0.98</f>
        <v>758.71600000000001</v>
      </c>
      <c r="Q24" s="54"/>
    </row>
    <row r="25" spans="1:17" ht="15.75" customHeight="1" x14ac:dyDescent="0.2">
      <c r="A25" s="29"/>
      <c r="B25" s="30"/>
      <c r="C25" s="36"/>
      <c r="D25" s="157"/>
      <c r="E25" s="37"/>
      <c r="F25" s="45" t="s">
        <v>10</v>
      </c>
      <c r="G25" s="46"/>
      <c r="H25" s="82">
        <f>940.8*0.98</f>
        <v>921.98399999999992</v>
      </c>
      <c r="I25" s="83"/>
      <c r="J25" s="84"/>
      <c r="K25" s="52">
        <f>0.64*0.98</f>
        <v>0.62719999999999998</v>
      </c>
      <c r="L25" s="54"/>
      <c r="M25" s="52">
        <f>186.2*0.98</f>
        <v>182.476</v>
      </c>
      <c r="N25" s="53"/>
      <c r="O25" s="54"/>
      <c r="P25" s="52">
        <f>754.6*0.98</f>
        <v>739.50800000000004</v>
      </c>
      <c r="Q25" s="54"/>
    </row>
    <row r="26" spans="1:17" ht="31.5" customHeight="1" x14ac:dyDescent="0.2">
      <c r="A26" s="29"/>
      <c r="B26" s="30"/>
      <c r="C26" s="36"/>
      <c r="D26" s="157"/>
      <c r="E26" s="37"/>
      <c r="F26" s="45" t="s">
        <v>11</v>
      </c>
      <c r="G26" s="46"/>
      <c r="H26" s="82">
        <f>918.75*0.98</f>
        <v>900.375</v>
      </c>
      <c r="I26" s="83"/>
      <c r="J26" s="84"/>
      <c r="K26" s="52">
        <f>0.59*0.98</f>
        <v>0.57819999999999994</v>
      </c>
      <c r="L26" s="54"/>
      <c r="M26" s="52">
        <f>183.75*0.98</f>
        <v>180.07499999999999</v>
      </c>
      <c r="N26" s="53"/>
      <c r="O26" s="54"/>
      <c r="P26" s="52">
        <f>735*0.98</f>
        <v>720.3</v>
      </c>
      <c r="Q26" s="54"/>
    </row>
    <row r="27" spans="1:17" ht="15.75" customHeight="1" x14ac:dyDescent="0.2">
      <c r="A27" s="31"/>
      <c r="B27" s="32"/>
      <c r="C27" s="38"/>
      <c r="D27" s="39"/>
      <c r="E27" s="40"/>
      <c r="F27" s="41" t="s">
        <v>12</v>
      </c>
      <c r="G27" s="42"/>
      <c r="H27" s="82">
        <f>896.7*0.98</f>
        <v>878.76600000000008</v>
      </c>
      <c r="I27" s="83"/>
      <c r="J27" s="84"/>
      <c r="K27" s="52">
        <v>0.54</v>
      </c>
      <c r="L27" s="54"/>
      <c r="M27" s="52">
        <f>181.3*0.98</f>
        <v>177.67400000000001</v>
      </c>
      <c r="N27" s="53"/>
      <c r="O27" s="54"/>
      <c r="P27" s="52">
        <f>715.4*0.98</f>
        <v>701.09199999999998</v>
      </c>
      <c r="Q27" s="54"/>
    </row>
    <row r="28" spans="1:17" ht="15.75" customHeight="1" x14ac:dyDescent="0.2">
      <c r="A28" s="158"/>
      <c r="B28" s="158"/>
      <c r="C28" s="158"/>
      <c r="D28" s="158"/>
      <c r="E28" s="158"/>
      <c r="F28" s="158"/>
      <c r="G28" s="158"/>
      <c r="H28" s="158"/>
      <c r="I28" s="158"/>
      <c r="J28" s="158"/>
      <c r="K28" s="158"/>
      <c r="L28" s="158"/>
      <c r="M28" s="158"/>
      <c r="N28" s="158"/>
      <c r="O28" s="158"/>
      <c r="P28" s="158"/>
      <c r="Q28" s="158"/>
    </row>
    <row r="29" spans="1:17" ht="15.75" customHeight="1" x14ac:dyDescent="0.2">
      <c r="A29" s="98" t="s">
        <v>29</v>
      </c>
      <c r="B29" s="21"/>
      <c r="C29" s="21"/>
      <c r="D29" s="21"/>
      <c r="E29" s="21"/>
      <c r="F29" s="21"/>
      <c r="G29" s="21"/>
      <c r="H29" s="21"/>
      <c r="I29" s="21"/>
      <c r="J29" s="21"/>
      <c r="K29" s="21"/>
      <c r="L29" s="21"/>
      <c r="M29" s="21"/>
      <c r="N29" s="21"/>
      <c r="O29" s="21"/>
      <c r="P29" s="21"/>
      <c r="Q29" s="21"/>
    </row>
    <row r="30" spans="1:17" ht="15.75" customHeight="1" x14ac:dyDescent="0.2">
      <c r="A30" s="22" t="s">
        <v>0</v>
      </c>
      <c r="B30" s="23"/>
      <c r="C30" s="22" t="s">
        <v>1</v>
      </c>
      <c r="D30" s="24"/>
      <c r="E30" s="23"/>
      <c r="F30" s="99"/>
      <c r="G30" s="100"/>
      <c r="H30" s="101" t="s">
        <v>30</v>
      </c>
      <c r="I30" s="102"/>
      <c r="J30" s="103"/>
      <c r="K30" s="104" t="s">
        <v>3</v>
      </c>
      <c r="L30" s="105"/>
      <c r="M30" s="105"/>
      <c r="N30" s="105"/>
      <c r="O30" s="105"/>
      <c r="P30" s="105"/>
      <c r="Q30" s="106"/>
    </row>
    <row r="31" spans="1:17" x14ac:dyDescent="0.2">
      <c r="A31" s="87"/>
      <c r="B31" s="88"/>
      <c r="C31" s="87"/>
      <c r="D31" s="89"/>
      <c r="E31" s="88"/>
      <c r="F31" s="90" t="s">
        <v>2</v>
      </c>
      <c r="G31" s="91"/>
      <c r="H31" s="61" t="s">
        <v>31</v>
      </c>
      <c r="I31" s="92"/>
      <c r="J31" s="62"/>
      <c r="K31" s="93" t="s">
        <v>4</v>
      </c>
      <c r="L31" s="94"/>
      <c r="M31" s="95" t="s">
        <v>5</v>
      </c>
      <c r="N31" s="96"/>
      <c r="O31" s="96"/>
      <c r="P31" s="96"/>
      <c r="Q31" s="97"/>
    </row>
    <row r="32" spans="1:17" x14ac:dyDescent="0.2">
      <c r="A32" s="27">
        <v>1</v>
      </c>
      <c r="B32" s="28"/>
      <c r="C32" s="33" t="s">
        <v>26</v>
      </c>
      <c r="D32" s="34"/>
      <c r="E32" s="35"/>
      <c r="F32" s="41" t="s">
        <v>6</v>
      </c>
      <c r="G32" s="42"/>
      <c r="H32" s="52">
        <f>1.96*0.98</f>
        <v>1.9207999999999998</v>
      </c>
      <c r="I32" s="53"/>
      <c r="J32" s="54"/>
      <c r="K32" s="52">
        <f>191.1*0.98</f>
        <v>187.27799999999999</v>
      </c>
      <c r="L32" s="54"/>
      <c r="M32" s="52">
        <f>833*0.98</f>
        <v>816.34</v>
      </c>
      <c r="N32" s="53"/>
      <c r="O32" s="53"/>
      <c r="P32" s="53"/>
      <c r="Q32" s="54"/>
    </row>
    <row r="33" spans="1:39" x14ac:dyDescent="0.2">
      <c r="A33" s="29"/>
      <c r="B33" s="30"/>
      <c r="C33" s="36"/>
      <c r="D33" s="20"/>
      <c r="E33" s="37"/>
      <c r="F33" s="43" t="s">
        <v>7</v>
      </c>
      <c r="G33" s="44"/>
      <c r="H33" s="52">
        <f>1.91*0.98</f>
        <v>1.8717999999999999</v>
      </c>
      <c r="I33" s="53"/>
      <c r="J33" s="54"/>
      <c r="K33" s="52">
        <f>191.1*0.98</f>
        <v>187.27799999999999</v>
      </c>
      <c r="L33" s="54"/>
      <c r="M33" s="52">
        <f>813.4*0.98</f>
        <v>797.13199999999995</v>
      </c>
      <c r="N33" s="53"/>
      <c r="O33" s="53"/>
      <c r="P33" s="53"/>
      <c r="Q33" s="54"/>
    </row>
    <row r="34" spans="1:39" x14ac:dyDescent="0.2">
      <c r="A34" s="29"/>
      <c r="B34" s="30"/>
      <c r="C34" s="36"/>
      <c r="D34" s="20"/>
      <c r="E34" s="37"/>
      <c r="F34" s="43" t="s">
        <v>8</v>
      </c>
      <c r="G34" s="44"/>
      <c r="H34" s="52">
        <f>1.86*0.98</f>
        <v>1.8228</v>
      </c>
      <c r="I34" s="53"/>
      <c r="J34" s="54"/>
      <c r="K34" s="52">
        <f>191.1*0.98</f>
        <v>187.27799999999999</v>
      </c>
      <c r="L34" s="54"/>
      <c r="M34" s="52">
        <f>793.8*0.98</f>
        <v>777.92399999999998</v>
      </c>
      <c r="N34" s="53"/>
      <c r="O34" s="53"/>
      <c r="P34" s="53"/>
      <c r="Q34" s="54"/>
    </row>
    <row r="35" spans="1:39" x14ac:dyDescent="0.2">
      <c r="A35" s="29"/>
      <c r="B35" s="30"/>
      <c r="C35" s="36"/>
      <c r="D35" s="20"/>
      <c r="E35" s="37"/>
      <c r="F35" s="43" t="s">
        <v>9</v>
      </c>
      <c r="G35" s="44"/>
      <c r="H35" s="52">
        <f>1.81*0.98</f>
        <v>1.7738</v>
      </c>
      <c r="I35" s="53"/>
      <c r="J35" s="54"/>
      <c r="K35" s="52">
        <f>188.65*0.98</f>
        <v>184.87700000000001</v>
      </c>
      <c r="L35" s="54"/>
      <c r="M35" s="52">
        <f>774.2*0.98</f>
        <v>758.71600000000001</v>
      </c>
      <c r="N35" s="53"/>
      <c r="O35" s="53"/>
      <c r="P35" s="53"/>
      <c r="Q35" s="54"/>
    </row>
    <row r="36" spans="1:39" x14ac:dyDescent="0.2">
      <c r="A36" s="29"/>
      <c r="B36" s="30"/>
      <c r="C36" s="36"/>
      <c r="D36" s="20"/>
      <c r="E36" s="37"/>
      <c r="F36" s="45" t="s">
        <v>10</v>
      </c>
      <c r="G36" s="46"/>
      <c r="H36" s="52">
        <f>1.76*0.98</f>
        <v>1.7247999999999999</v>
      </c>
      <c r="I36" s="53"/>
      <c r="J36" s="54"/>
      <c r="K36" s="52">
        <f>186.2*0.98</f>
        <v>182.476</v>
      </c>
      <c r="L36" s="54"/>
      <c r="M36" s="52">
        <f>754.6*0.98</f>
        <v>739.50800000000004</v>
      </c>
      <c r="N36" s="53"/>
      <c r="O36" s="53"/>
      <c r="P36" s="53"/>
      <c r="Q36" s="54"/>
    </row>
    <row r="37" spans="1:39" x14ac:dyDescent="0.2">
      <c r="A37" s="29"/>
      <c r="B37" s="30"/>
      <c r="C37" s="36"/>
      <c r="D37" s="20"/>
      <c r="E37" s="37"/>
      <c r="F37" s="45" t="s">
        <v>11</v>
      </c>
      <c r="G37" s="46"/>
      <c r="H37" s="52">
        <f>1.72*0.98</f>
        <v>1.6856</v>
      </c>
      <c r="I37" s="53"/>
      <c r="J37" s="54"/>
      <c r="K37" s="52">
        <f>183.75*0.98</f>
        <v>180.07499999999999</v>
      </c>
      <c r="L37" s="54"/>
      <c r="M37" s="52">
        <f>735*0.98</f>
        <v>720.3</v>
      </c>
      <c r="N37" s="53"/>
      <c r="O37" s="53"/>
      <c r="P37" s="53"/>
      <c r="Q37" s="54"/>
    </row>
    <row r="38" spans="1:39" x14ac:dyDescent="0.2">
      <c r="A38" s="31"/>
      <c r="B38" s="32"/>
      <c r="C38" s="38"/>
      <c r="D38" s="39"/>
      <c r="E38" s="40"/>
      <c r="F38" s="41" t="s">
        <v>12</v>
      </c>
      <c r="G38" s="42"/>
      <c r="H38" s="52">
        <f>1.67*0.98</f>
        <v>1.6365999999999998</v>
      </c>
      <c r="I38" s="53"/>
      <c r="J38" s="54"/>
      <c r="K38" s="52">
        <f>181.3*0.98</f>
        <v>177.67400000000001</v>
      </c>
      <c r="L38" s="54"/>
      <c r="M38" s="52">
        <f>715.4*0.98</f>
        <v>701.09199999999998</v>
      </c>
      <c r="N38" s="53"/>
      <c r="O38" s="53"/>
      <c r="P38" s="53"/>
      <c r="Q38" s="54"/>
    </row>
    <row r="39" spans="1:39" x14ac:dyDescent="0.2">
      <c r="A39" s="14"/>
      <c r="B39" s="167"/>
      <c r="C39" s="15"/>
      <c r="D39" s="15"/>
      <c r="E39" s="15"/>
      <c r="F39" s="168"/>
      <c r="G39" s="168"/>
      <c r="H39" s="17"/>
      <c r="I39" s="17"/>
      <c r="J39" s="17"/>
      <c r="K39" s="17"/>
      <c r="L39" s="17"/>
      <c r="M39" s="17"/>
      <c r="N39" s="17"/>
      <c r="O39" s="17"/>
      <c r="P39" s="17"/>
      <c r="Q39" s="17"/>
    </row>
    <row r="40" spans="1:39" customFormat="1" ht="15.75" customHeight="1" x14ac:dyDescent="0.2">
      <c r="A40" s="126" t="s">
        <v>36</v>
      </c>
      <c r="B40" s="127" t="s">
        <v>37</v>
      </c>
      <c r="C40" s="128"/>
      <c r="D40" s="128"/>
      <c r="E40" s="128"/>
      <c r="F40" s="128"/>
      <c r="G40" s="128"/>
      <c r="H40" s="128"/>
      <c r="I40" s="128"/>
      <c r="J40" s="128"/>
      <c r="K40" s="128"/>
      <c r="L40" s="128"/>
      <c r="M40" s="128"/>
      <c r="N40" s="128"/>
      <c r="O40" s="128"/>
      <c r="P40" s="128"/>
      <c r="Q40" s="128" t="s">
        <v>38</v>
      </c>
      <c r="R40" s="128"/>
      <c r="S40" s="129"/>
      <c r="T40" s="127"/>
      <c r="U40" s="128"/>
      <c r="V40" s="128"/>
      <c r="W40" s="128"/>
      <c r="X40" s="128"/>
      <c r="Y40" s="128"/>
      <c r="Z40" s="128"/>
      <c r="AA40" s="128"/>
      <c r="AB40" s="128"/>
      <c r="AC40" s="128"/>
      <c r="AD40" s="128"/>
      <c r="AE40" s="128"/>
      <c r="AF40" s="128"/>
      <c r="AG40" s="128"/>
      <c r="AH40" s="128"/>
      <c r="AI40" s="128"/>
      <c r="AJ40" s="128"/>
      <c r="AK40" s="129"/>
      <c r="AL40" s="130"/>
      <c r="AM40" s="130"/>
    </row>
    <row r="41" spans="1:39" customFormat="1" ht="15.75" customHeight="1" x14ac:dyDescent="0.2">
      <c r="A41" s="131">
        <v>1</v>
      </c>
      <c r="B41" s="132" t="s">
        <v>39</v>
      </c>
      <c r="C41" s="133"/>
      <c r="D41" s="133"/>
      <c r="E41" s="133"/>
      <c r="F41" s="133"/>
      <c r="G41" s="133"/>
      <c r="H41" s="133"/>
      <c r="I41" s="133"/>
      <c r="J41" s="133"/>
      <c r="K41" s="133"/>
      <c r="L41" s="133"/>
      <c r="M41" s="133"/>
      <c r="N41" s="133"/>
      <c r="O41" s="133"/>
      <c r="P41" s="134"/>
      <c r="Q41" s="159" t="s">
        <v>40</v>
      </c>
      <c r="R41" s="160"/>
      <c r="S41" s="160"/>
      <c r="T41" s="160"/>
      <c r="U41" s="160"/>
      <c r="V41" s="160"/>
      <c r="W41" s="160"/>
      <c r="X41" s="160"/>
      <c r="Y41" s="160"/>
      <c r="Z41" s="160"/>
      <c r="AA41" s="160"/>
      <c r="AB41" s="160"/>
      <c r="AC41" s="160"/>
      <c r="AD41" s="160"/>
      <c r="AE41" s="160"/>
      <c r="AF41" s="160"/>
      <c r="AG41" s="160"/>
      <c r="AH41" s="160"/>
      <c r="AI41" s="160"/>
      <c r="AJ41" s="160"/>
      <c r="AK41" s="161"/>
    </row>
    <row r="42" spans="1:39" customFormat="1" ht="15.75" customHeight="1" x14ac:dyDescent="0.2">
      <c r="A42" s="131">
        <v>2</v>
      </c>
      <c r="B42" s="132" t="s">
        <v>41</v>
      </c>
      <c r="C42" s="133"/>
      <c r="D42" s="133"/>
      <c r="E42" s="133"/>
      <c r="F42" s="133"/>
      <c r="G42" s="133"/>
      <c r="H42" s="133"/>
      <c r="I42" s="133"/>
      <c r="J42" s="133"/>
      <c r="K42" s="133"/>
      <c r="L42" s="133"/>
      <c r="M42" s="133"/>
      <c r="N42" s="133"/>
      <c r="O42" s="133"/>
      <c r="P42" s="134"/>
      <c r="Q42" s="162"/>
      <c r="R42" s="169"/>
      <c r="S42" s="169"/>
      <c r="T42" s="169"/>
      <c r="U42" s="169"/>
      <c r="V42" s="169"/>
      <c r="W42" s="169"/>
      <c r="X42" s="169"/>
      <c r="Y42" s="169"/>
      <c r="Z42" s="169"/>
      <c r="AA42" s="169"/>
      <c r="AB42" s="169"/>
      <c r="AC42" s="169"/>
      <c r="AD42" s="169"/>
      <c r="AE42" s="169"/>
      <c r="AF42" s="169"/>
      <c r="AG42" s="169"/>
      <c r="AH42" s="169"/>
      <c r="AI42" s="169"/>
      <c r="AJ42" s="169"/>
      <c r="AK42" s="163"/>
    </row>
    <row r="43" spans="1:39" customFormat="1" ht="15.75" customHeight="1" x14ac:dyDescent="0.2">
      <c r="A43" s="131">
        <v>3</v>
      </c>
      <c r="B43" s="132" t="s">
        <v>54</v>
      </c>
      <c r="C43" s="133"/>
      <c r="D43" s="133"/>
      <c r="E43" s="133"/>
      <c r="F43" s="133"/>
      <c r="G43" s="133"/>
      <c r="H43" s="133"/>
      <c r="I43" s="133"/>
      <c r="J43" s="133"/>
      <c r="K43" s="133"/>
      <c r="L43" s="133"/>
      <c r="M43" s="133"/>
      <c r="N43" s="133"/>
      <c r="O43" s="133"/>
      <c r="P43" s="134"/>
      <c r="Q43" s="162"/>
      <c r="R43" s="169"/>
      <c r="S43" s="169"/>
      <c r="T43" s="169"/>
      <c r="U43" s="169"/>
      <c r="V43" s="169"/>
      <c r="W43" s="169"/>
      <c r="X43" s="169"/>
      <c r="Y43" s="169"/>
      <c r="Z43" s="169"/>
      <c r="AA43" s="169"/>
      <c r="AB43" s="169"/>
      <c r="AC43" s="169"/>
      <c r="AD43" s="169"/>
      <c r="AE43" s="169"/>
      <c r="AF43" s="169"/>
      <c r="AG43" s="169"/>
      <c r="AH43" s="169"/>
      <c r="AI43" s="169"/>
      <c r="AJ43" s="169"/>
      <c r="AK43" s="163"/>
    </row>
    <row r="44" spans="1:39" customFormat="1" ht="15.75" customHeight="1" x14ac:dyDescent="0.2">
      <c r="A44" s="131">
        <v>4</v>
      </c>
      <c r="B44" s="132" t="s">
        <v>43</v>
      </c>
      <c r="C44" s="133"/>
      <c r="D44" s="133"/>
      <c r="E44" s="133"/>
      <c r="F44" s="133"/>
      <c r="G44" s="133"/>
      <c r="H44" s="133"/>
      <c r="I44" s="133"/>
      <c r="J44" s="133"/>
      <c r="K44" s="133"/>
      <c r="L44" s="133"/>
      <c r="M44" s="133"/>
      <c r="N44" s="133"/>
      <c r="O44" s="133"/>
      <c r="P44" s="134"/>
      <c r="Q44" s="162"/>
      <c r="R44" s="169"/>
      <c r="S44" s="169"/>
      <c r="T44" s="169"/>
      <c r="U44" s="169"/>
      <c r="V44" s="169"/>
      <c r="W44" s="169"/>
      <c r="X44" s="169"/>
      <c r="Y44" s="169"/>
      <c r="Z44" s="169"/>
      <c r="AA44" s="169"/>
      <c r="AB44" s="169"/>
      <c r="AC44" s="169"/>
      <c r="AD44" s="169"/>
      <c r="AE44" s="169"/>
      <c r="AF44" s="169"/>
      <c r="AG44" s="169"/>
      <c r="AH44" s="169"/>
      <c r="AI44" s="169"/>
      <c r="AJ44" s="169"/>
      <c r="AK44" s="163"/>
    </row>
    <row r="45" spans="1:39" customFormat="1" ht="48.75" customHeight="1" x14ac:dyDescent="0.2">
      <c r="A45" s="131">
        <v>5</v>
      </c>
      <c r="B45" s="141" t="s">
        <v>44</v>
      </c>
      <c r="C45" s="142"/>
      <c r="D45" s="142"/>
      <c r="E45" s="142"/>
      <c r="F45" s="142"/>
      <c r="G45" s="142"/>
      <c r="H45" s="142"/>
      <c r="I45" s="142"/>
      <c r="J45" s="142"/>
      <c r="K45" s="142"/>
      <c r="L45" s="142"/>
      <c r="M45" s="142"/>
      <c r="N45" s="142"/>
      <c r="O45" s="142"/>
      <c r="P45" s="143"/>
      <c r="Q45" s="162"/>
      <c r="R45" s="169"/>
      <c r="S45" s="169"/>
      <c r="T45" s="169"/>
      <c r="U45" s="169"/>
      <c r="V45" s="169"/>
      <c r="W45" s="169"/>
      <c r="X45" s="169"/>
      <c r="Y45" s="169"/>
      <c r="Z45" s="169"/>
      <c r="AA45" s="169"/>
      <c r="AB45" s="169"/>
      <c r="AC45" s="169"/>
      <c r="AD45" s="169"/>
      <c r="AE45" s="169"/>
      <c r="AF45" s="169"/>
      <c r="AG45" s="169"/>
      <c r="AH45" s="169"/>
      <c r="AI45" s="169"/>
      <c r="AJ45" s="169"/>
      <c r="AK45" s="163"/>
    </row>
    <row r="46" spans="1:39" customFormat="1" ht="15.75" customHeight="1" x14ac:dyDescent="0.2">
      <c r="A46" s="131">
        <v>6</v>
      </c>
      <c r="B46" s="132" t="s">
        <v>45</v>
      </c>
      <c r="C46" s="133"/>
      <c r="D46" s="133"/>
      <c r="E46" s="133"/>
      <c r="F46" s="133"/>
      <c r="G46" s="133"/>
      <c r="H46" s="133"/>
      <c r="I46" s="133"/>
      <c r="J46" s="133"/>
      <c r="K46" s="133"/>
      <c r="L46" s="133"/>
      <c r="M46" s="133"/>
      <c r="N46" s="133"/>
      <c r="O46" s="133"/>
      <c r="P46" s="134"/>
      <c r="Q46" s="162"/>
      <c r="R46" s="169"/>
      <c r="S46" s="169"/>
      <c r="T46" s="169"/>
      <c r="U46" s="169"/>
      <c r="V46" s="169"/>
      <c r="W46" s="169"/>
      <c r="X46" s="169"/>
      <c r="Y46" s="169"/>
      <c r="Z46" s="169"/>
      <c r="AA46" s="169"/>
      <c r="AB46" s="169"/>
      <c r="AC46" s="169"/>
      <c r="AD46" s="169"/>
      <c r="AE46" s="169"/>
      <c r="AF46" s="169"/>
      <c r="AG46" s="169"/>
      <c r="AH46" s="169"/>
      <c r="AI46" s="169"/>
      <c r="AJ46" s="169"/>
      <c r="AK46" s="163"/>
    </row>
    <row r="47" spans="1:39" customFormat="1" ht="31.5" customHeight="1" x14ac:dyDescent="0.2">
      <c r="A47" s="131">
        <v>7</v>
      </c>
      <c r="B47" s="141" t="s">
        <v>46</v>
      </c>
      <c r="C47" s="142"/>
      <c r="D47" s="142"/>
      <c r="E47" s="142"/>
      <c r="F47" s="142"/>
      <c r="G47" s="142"/>
      <c r="H47" s="142"/>
      <c r="I47" s="142"/>
      <c r="J47" s="142"/>
      <c r="K47" s="142"/>
      <c r="L47" s="142"/>
      <c r="M47" s="142"/>
      <c r="N47" s="142"/>
      <c r="O47" s="142"/>
      <c r="P47" s="143"/>
      <c r="Q47" s="162"/>
      <c r="R47" s="169"/>
      <c r="S47" s="169"/>
      <c r="T47" s="169"/>
      <c r="U47" s="169"/>
      <c r="V47" s="169"/>
      <c r="W47" s="169"/>
      <c r="X47" s="169"/>
      <c r="Y47" s="169"/>
      <c r="Z47" s="169"/>
      <c r="AA47" s="169"/>
      <c r="AB47" s="169"/>
      <c r="AC47" s="169"/>
      <c r="AD47" s="169"/>
      <c r="AE47" s="169"/>
      <c r="AF47" s="169"/>
      <c r="AG47" s="169"/>
      <c r="AH47" s="169"/>
      <c r="AI47" s="169"/>
      <c r="AJ47" s="169"/>
      <c r="AK47" s="163"/>
    </row>
    <row r="48" spans="1:39" customFormat="1" ht="15.75" customHeight="1" x14ac:dyDescent="0.2">
      <c r="A48" s="131">
        <v>8</v>
      </c>
      <c r="B48" s="132" t="s">
        <v>47</v>
      </c>
      <c r="C48" s="133"/>
      <c r="D48" s="133"/>
      <c r="E48" s="133"/>
      <c r="F48" s="133"/>
      <c r="G48" s="133"/>
      <c r="H48" s="133"/>
      <c r="I48" s="133"/>
      <c r="J48" s="133"/>
      <c r="K48" s="133"/>
      <c r="L48" s="133"/>
      <c r="M48" s="133"/>
      <c r="N48" s="133"/>
      <c r="O48" s="133"/>
      <c r="P48" s="134"/>
      <c r="Q48" s="162"/>
      <c r="R48" s="169"/>
      <c r="S48" s="169"/>
      <c r="T48" s="169"/>
      <c r="U48" s="169"/>
      <c r="V48" s="169"/>
      <c r="W48" s="169"/>
      <c r="X48" s="169"/>
      <c r="Y48" s="169"/>
      <c r="Z48" s="169"/>
      <c r="AA48" s="169"/>
      <c r="AB48" s="169"/>
      <c r="AC48" s="169"/>
      <c r="AD48" s="169"/>
      <c r="AE48" s="169"/>
      <c r="AF48" s="169"/>
      <c r="AG48" s="169"/>
      <c r="AH48" s="169"/>
      <c r="AI48" s="169"/>
      <c r="AJ48" s="169"/>
      <c r="AK48" s="163"/>
    </row>
    <row r="49" spans="1:37" customFormat="1" ht="31.5" customHeight="1" x14ac:dyDescent="0.2">
      <c r="A49" s="131">
        <v>9</v>
      </c>
      <c r="B49" s="141" t="s">
        <v>48</v>
      </c>
      <c r="C49" s="142"/>
      <c r="D49" s="142"/>
      <c r="E49" s="142"/>
      <c r="F49" s="142"/>
      <c r="G49" s="142"/>
      <c r="H49" s="142"/>
      <c r="I49" s="142"/>
      <c r="J49" s="142"/>
      <c r="K49" s="142"/>
      <c r="L49" s="142"/>
      <c r="M49" s="142"/>
      <c r="N49" s="142"/>
      <c r="O49" s="142"/>
      <c r="P49" s="143"/>
      <c r="Q49" s="164"/>
      <c r="R49" s="165"/>
      <c r="S49" s="165"/>
      <c r="T49" s="165"/>
      <c r="U49" s="165"/>
      <c r="V49" s="165"/>
      <c r="W49" s="165"/>
      <c r="X49" s="165"/>
      <c r="Y49" s="165"/>
      <c r="Z49" s="165"/>
      <c r="AA49" s="165"/>
      <c r="AB49" s="165"/>
      <c r="AC49" s="165"/>
      <c r="AD49" s="165"/>
      <c r="AE49" s="165"/>
      <c r="AF49" s="165"/>
      <c r="AG49" s="165"/>
      <c r="AH49" s="165"/>
      <c r="AI49" s="165"/>
      <c r="AJ49" s="165"/>
      <c r="AK49" s="166"/>
    </row>
    <row r="50" spans="1:37" x14ac:dyDescent="0.2">
      <c r="A50" s="2"/>
      <c r="B50" s="51"/>
      <c r="C50" s="51"/>
      <c r="D50" s="2"/>
      <c r="E50" s="51"/>
      <c r="F50" s="51"/>
      <c r="G50" s="51"/>
      <c r="H50" s="51"/>
      <c r="I50" s="2"/>
      <c r="J50" s="51"/>
      <c r="K50" s="51"/>
      <c r="L50" s="51"/>
      <c r="M50" s="51"/>
      <c r="N50" s="2"/>
      <c r="O50" s="2"/>
      <c r="P50" s="2"/>
    </row>
    <row r="51" spans="1:37" x14ac:dyDescent="0.2">
      <c r="A51" s="66" t="s">
        <v>27</v>
      </c>
      <c r="B51" s="67"/>
      <c r="C51" s="67"/>
      <c r="D51" s="67"/>
      <c r="E51" s="67"/>
      <c r="F51" s="67"/>
      <c r="G51" s="67"/>
      <c r="H51" s="67"/>
      <c r="I51" s="67"/>
      <c r="J51" s="67"/>
      <c r="K51" s="67"/>
      <c r="L51" s="67"/>
      <c r="M51" s="67"/>
      <c r="N51" s="67"/>
      <c r="O51" s="68"/>
      <c r="P51" s="3"/>
    </row>
    <row r="52" spans="1:37" ht="25.5" x14ac:dyDescent="0.2">
      <c r="A52" s="4" t="s">
        <v>0</v>
      </c>
      <c r="B52" s="18" t="s">
        <v>1</v>
      </c>
      <c r="C52" s="19"/>
      <c r="D52" s="4" t="s">
        <v>2</v>
      </c>
      <c r="E52" s="18" t="s">
        <v>16</v>
      </c>
      <c r="F52" s="19"/>
      <c r="G52" s="25" t="s">
        <v>17</v>
      </c>
      <c r="H52" s="26"/>
      <c r="I52" s="104" t="s">
        <v>3</v>
      </c>
      <c r="J52" s="105"/>
      <c r="K52" s="105"/>
      <c r="L52" s="105"/>
      <c r="M52" s="105"/>
      <c r="N52" s="105"/>
      <c r="O52" s="106"/>
      <c r="P52" s="36"/>
    </row>
    <row r="53" spans="1:37" ht="63.75" x14ac:dyDescent="0.2">
      <c r="A53" s="5"/>
      <c r="B53" s="109"/>
      <c r="C53" s="110"/>
      <c r="D53" s="5"/>
      <c r="E53" s="109" t="s">
        <v>33</v>
      </c>
      <c r="F53" s="110"/>
      <c r="G53" s="18" t="s">
        <v>18</v>
      </c>
      <c r="H53" s="19"/>
      <c r="I53" s="6" t="s">
        <v>24</v>
      </c>
      <c r="J53" s="95" t="s">
        <v>19</v>
      </c>
      <c r="K53" s="97"/>
      <c r="L53" s="95" t="s">
        <v>20</v>
      </c>
      <c r="M53" s="97"/>
      <c r="N53" s="6" t="s">
        <v>21</v>
      </c>
      <c r="O53" s="12" t="s">
        <v>22</v>
      </c>
      <c r="P53" s="36"/>
    </row>
    <row r="54" spans="1:37" x14ac:dyDescent="0.2">
      <c r="A54" s="7">
        <v>1</v>
      </c>
      <c r="B54" s="107" t="s">
        <v>23</v>
      </c>
      <c r="C54" s="108"/>
      <c r="D54" s="8" t="s">
        <v>6</v>
      </c>
      <c r="E54" s="52">
        <f>877.1*0.98</f>
        <v>859.55799999999999</v>
      </c>
      <c r="F54" s="54"/>
      <c r="G54" s="52">
        <f>1.83*0.98</f>
        <v>1.7934000000000001</v>
      </c>
      <c r="H54" s="54"/>
      <c r="I54" s="9">
        <f>583.1*0.98</f>
        <v>571.43799999999999</v>
      </c>
      <c r="J54" s="52">
        <f>196*0.98</f>
        <v>192.07999999999998</v>
      </c>
      <c r="K54" s="54"/>
      <c r="L54" s="52">
        <f>49*0.98</f>
        <v>48.019999999999996</v>
      </c>
      <c r="M54" s="54"/>
      <c r="N54" s="9">
        <f>49*0.98</f>
        <v>48.019999999999996</v>
      </c>
      <c r="O54" s="9">
        <f>181.3*0.98</f>
        <v>177.67400000000001</v>
      </c>
      <c r="P54" s="36"/>
    </row>
    <row r="55" spans="1:37" x14ac:dyDescent="0.2">
      <c r="A55" s="10"/>
      <c r="B55" s="111" t="s">
        <v>32</v>
      </c>
      <c r="C55" s="112"/>
      <c r="D55" s="8" t="s">
        <v>7</v>
      </c>
      <c r="E55" s="52">
        <f>877.1*0.98</f>
        <v>859.55799999999999</v>
      </c>
      <c r="F55" s="54"/>
      <c r="G55" s="52">
        <f>1.81*0.98</f>
        <v>1.7738</v>
      </c>
      <c r="H55" s="54"/>
      <c r="I55" s="9">
        <f>583.1*0.98</f>
        <v>571.43799999999999</v>
      </c>
      <c r="J55" s="52">
        <f>196*0.98</f>
        <v>192.07999999999998</v>
      </c>
      <c r="K55" s="54"/>
      <c r="L55" s="52">
        <f>49*0.98</f>
        <v>48.019999999999996</v>
      </c>
      <c r="M55" s="54"/>
      <c r="N55" s="9">
        <f>49*0.98</f>
        <v>48.019999999999996</v>
      </c>
      <c r="O55" s="9">
        <f>161.7*0.98</f>
        <v>158.46599999999998</v>
      </c>
      <c r="P55" s="36"/>
    </row>
    <row r="56" spans="1:37" x14ac:dyDescent="0.2">
      <c r="A56" s="10"/>
      <c r="B56" s="113" t="s">
        <v>34</v>
      </c>
      <c r="C56" s="114"/>
      <c r="D56" s="8" t="s">
        <v>8</v>
      </c>
      <c r="E56" s="52">
        <f>877.1*0.98</f>
        <v>859.55799999999999</v>
      </c>
      <c r="F56" s="54"/>
      <c r="G56" s="52">
        <f>1.79*0.98</f>
        <v>1.7542</v>
      </c>
      <c r="H56" s="54"/>
      <c r="I56" s="9">
        <f>583.1*0.98</f>
        <v>571.43799999999999</v>
      </c>
      <c r="J56" s="52">
        <f>196*0.98</f>
        <v>192.07999999999998</v>
      </c>
      <c r="K56" s="54"/>
      <c r="L56" s="52">
        <f>49*0.98</f>
        <v>48.019999999999996</v>
      </c>
      <c r="M56" s="54"/>
      <c r="N56" s="9">
        <f>49*0.98</f>
        <v>48.019999999999996</v>
      </c>
      <c r="O56" s="9">
        <f>161.7*0.98</f>
        <v>158.46599999999998</v>
      </c>
      <c r="P56" s="36"/>
    </row>
    <row r="57" spans="1:37" ht="25.5" x14ac:dyDescent="0.2">
      <c r="A57" s="10"/>
      <c r="B57" s="115"/>
      <c r="C57" s="116"/>
      <c r="D57" s="11" t="s">
        <v>9</v>
      </c>
      <c r="E57" s="52">
        <f>764.4*0.98</f>
        <v>749.11199999999997</v>
      </c>
      <c r="F57" s="54"/>
      <c r="G57" s="52">
        <f>1.77*0.98</f>
        <v>1.7345999999999999</v>
      </c>
      <c r="H57" s="54"/>
      <c r="I57" s="9">
        <f>573.3*0.98</f>
        <v>561.83399999999995</v>
      </c>
      <c r="J57" s="52">
        <f>132.3*0.98</f>
        <v>129.654</v>
      </c>
      <c r="K57" s="54"/>
      <c r="L57" s="52">
        <f>29.4*0.98</f>
        <v>28.811999999999998</v>
      </c>
      <c r="M57" s="54"/>
      <c r="N57" s="9">
        <f>29.4*0.98</f>
        <v>28.811999999999998</v>
      </c>
      <c r="O57" s="9">
        <f>161.7*0.98</f>
        <v>158.46599999999998</v>
      </c>
      <c r="P57" s="36"/>
    </row>
    <row r="58" spans="1:37" ht="25.5" x14ac:dyDescent="0.2">
      <c r="A58" s="10"/>
      <c r="B58" s="115"/>
      <c r="C58" s="116"/>
      <c r="D58" s="11" t="s">
        <v>10</v>
      </c>
      <c r="E58" s="52">
        <f>754.6*0.98</f>
        <v>739.50800000000004</v>
      </c>
      <c r="F58" s="54"/>
      <c r="G58" s="52">
        <f>1.75*0.98</f>
        <v>1.7149999999999999</v>
      </c>
      <c r="H58" s="54"/>
      <c r="I58" s="9">
        <f>568.4*0.98</f>
        <v>557.03199999999993</v>
      </c>
      <c r="J58" s="52">
        <f>127.4*0.98</f>
        <v>124.852</v>
      </c>
      <c r="K58" s="54"/>
      <c r="L58" s="52">
        <f>29.4*0.98</f>
        <v>28.811999999999998</v>
      </c>
      <c r="M58" s="54"/>
      <c r="N58" s="9">
        <f>29.4*0.98</f>
        <v>28.811999999999998</v>
      </c>
      <c r="O58" s="9">
        <f>156.8*0.98</f>
        <v>153.66400000000002</v>
      </c>
      <c r="P58" s="36"/>
    </row>
    <row r="59" spans="1:37" ht="25.5" x14ac:dyDescent="0.2">
      <c r="A59" s="10"/>
      <c r="B59" s="115"/>
      <c r="C59" s="116"/>
      <c r="D59" s="11" t="s">
        <v>11</v>
      </c>
      <c r="E59" s="52">
        <f>744.8*0.98</f>
        <v>729.904</v>
      </c>
      <c r="F59" s="54"/>
      <c r="G59" s="52">
        <f>1.73*0.98</f>
        <v>1.6954</v>
      </c>
      <c r="H59" s="54"/>
      <c r="I59" s="9">
        <f>563.5*0.98</f>
        <v>552.23</v>
      </c>
      <c r="J59" s="52">
        <f>122.5*0.98</f>
        <v>120.05</v>
      </c>
      <c r="K59" s="54"/>
      <c r="L59" s="52">
        <f>29.4*0.98</f>
        <v>28.811999999999998</v>
      </c>
      <c r="M59" s="54"/>
      <c r="N59" s="9">
        <f>29.4*0.98</f>
        <v>28.811999999999998</v>
      </c>
      <c r="O59" s="9">
        <f>151.9*0.98</f>
        <v>148.86199999999999</v>
      </c>
      <c r="P59" s="36"/>
    </row>
    <row r="60" spans="1:37" x14ac:dyDescent="0.2">
      <c r="A60" s="10"/>
      <c r="B60" s="117"/>
      <c r="C60" s="118"/>
      <c r="D60" s="8" t="s">
        <v>12</v>
      </c>
      <c r="E60" s="52">
        <f>735*0.98</f>
        <v>720.3</v>
      </c>
      <c r="F60" s="54"/>
      <c r="G60" s="52">
        <f>1.72*0.98</f>
        <v>1.6856</v>
      </c>
      <c r="H60" s="54"/>
      <c r="I60" s="9">
        <f>558.6*0.98</f>
        <v>547.428</v>
      </c>
      <c r="J60" s="52">
        <f>117.6*0.98</f>
        <v>115.24799999999999</v>
      </c>
      <c r="K60" s="54"/>
      <c r="L60" s="52">
        <f>29.4*0.98</f>
        <v>28.811999999999998</v>
      </c>
      <c r="M60" s="54"/>
      <c r="N60" s="9">
        <f>29.4*0.98</f>
        <v>28.811999999999998</v>
      </c>
      <c r="O60" s="9">
        <f>147*0.98</f>
        <v>144.06</v>
      </c>
      <c r="P60" s="36"/>
    </row>
    <row r="61" spans="1:37" x14ac:dyDescent="0.2">
      <c r="A61" s="2"/>
      <c r="B61" s="51"/>
      <c r="C61" s="51"/>
      <c r="D61" s="2"/>
      <c r="E61" s="51"/>
      <c r="F61" s="51"/>
      <c r="G61" s="51"/>
      <c r="H61" s="51"/>
      <c r="I61" s="2"/>
      <c r="J61" s="51"/>
      <c r="K61" s="51"/>
      <c r="L61" s="51"/>
      <c r="M61" s="51"/>
      <c r="N61" s="2"/>
      <c r="O61" s="2"/>
      <c r="P61" s="2"/>
    </row>
    <row r="62" spans="1:37" x14ac:dyDescent="0.2">
      <c r="A62" s="66" t="s">
        <v>29</v>
      </c>
      <c r="B62" s="67"/>
      <c r="C62" s="67"/>
      <c r="D62" s="67"/>
      <c r="E62" s="67"/>
      <c r="F62" s="67"/>
      <c r="G62" s="67"/>
      <c r="H62" s="67"/>
      <c r="I62" s="67"/>
      <c r="J62" s="67"/>
      <c r="K62" s="67"/>
      <c r="L62" s="67"/>
      <c r="M62" s="67"/>
      <c r="N62" s="68"/>
      <c r="O62" s="119"/>
      <c r="P62" s="120"/>
    </row>
    <row r="63" spans="1:37" ht="25.5" x14ac:dyDescent="0.2">
      <c r="A63" s="4" t="s">
        <v>0</v>
      </c>
      <c r="B63" s="18" t="s">
        <v>1</v>
      </c>
      <c r="C63" s="19"/>
      <c r="D63" s="4" t="s">
        <v>2</v>
      </c>
      <c r="E63" s="121" t="s">
        <v>14</v>
      </c>
      <c r="F63" s="122"/>
      <c r="G63" s="104" t="s">
        <v>3</v>
      </c>
      <c r="H63" s="105"/>
      <c r="I63" s="105"/>
      <c r="J63" s="105"/>
      <c r="K63" s="105"/>
      <c r="L63" s="105"/>
      <c r="M63" s="105"/>
      <c r="N63" s="106"/>
      <c r="O63" s="36"/>
      <c r="P63" s="20"/>
    </row>
    <row r="64" spans="1:37" ht="38.25" x14ac:dyDescent="0.2">
      <c r="A64" s="5"/>
      <c r="B64" s="109"/>
      <c r="C64" s="110"/>
      <c r="D64" s="5"/>
      <c r="E64" s="49" t="s">
        <v>25</v>
      </c>
      <c r="F64" s="50"/>
      <c r="G64" s="47" t="s">
        <v>24</v>
      </c>
      <c r="H64" s="48"/>
      <c r="I64" s="13" t="s">
        <v>19</v>
      </c>
      <c r="J64" s="49" t="s">
        <v>20</v>
      </c>
      <c r="K64" s="50"/>
      <c r="L64" s="49" t="s">
        <v>21</v>
      </c>
      <c r="M64" s="50"/>
      <c r="N64" s="13" t="s">
        <v>22</v>
      </c>
      <c r="O64" s="36"/>
      <c r="P64" s="20"/>
    </row>
    <row r="65" spans="1:16" x14ac:dyDescent="0.2">
      <c r="A65" s="7">
        <v>1</v>
      </c>
      <c r="B65" s="107" t="s">
        <v>23</v>
      </c>
      <c r="C65" s="108"/>
      <c r="D65" s="8" t="s">
        <v>6</v>
      </c>
      <c r="E65" s="52">
        <f>2.94*0.98</f>
        <v>2.8811999999999998</v>
      </c>
      <c r="F65" s="54"/>
      <c r="G65" s="123">
        <f>583.1*0.98</f>
        <v>571.43799999999999</v>
      </c>
      <c r="H65" s="124"/>
      <c r="I65" s="9">
        <f>196*0.98</f>
        <v>192.07999999999998</v>
      </c>
      <c r="J65" s="52">
        <f>49*0.98</f>
        <v>48.019999999999996</v>
      </c>
      <c r="K65" s="54"/>
      <c r="L65" s="52">
        <f>49*0.98</f>
        <v>48.019999999999996</v>
      </c>
      <c r="M65" s="54"/>
      <c r="N65" s="9">
        <f>181.3*0.98</f>
        <v>177.67400000000001</v>
      </c>
      <c r="O65" s="36"/>
      <c r="P65" s="20"/>
    </row>
    <row r="66" spans="1:16" x14ac:dyDescent="0.2">
      <c r="A66" s="10"/>
      <c r="B66" s="111" t="s">
        <v>32</v>
      </c>
      <c r="C66" s="112"/>
      <c r="D66" s="8" t="s">
        <v>7</v>
      </c>
      <c r="E66" s="52">
        <f>2.94*0.98</f>
        <v>2.8811999999999998</v>
      </c>
      <c r="F66" s="54"/>
      <c r="G66" s="123">
        <f>583.1*0.98</f>
        <v>571.43799999999999</v>
      </c>
      <c r="H66" s="124"/>
      <c r="I66" s="9">
        <f>196*0.98</f>
        <v>192.07999999999998</v>
      </c>
      <c r="J66" s="52">
        <f>49*0.98</f>
        <v>48.019999999999996</v>
      </c>
      <c r="K66" s="54"/>
      <c r="L66" s="52">
        <f>49*0.98</f>
        <v>48.019999999999996</v>
      </c>
      <c r="M66" s="54"/>
      <c r="N66" s="9">
        <f>161.7*0.98</f>
        <v>158.46599999999998</v>
      </c>
      <c r="O66" s="36"/>
      <c r="P66" s="20"/>
    </row>
    <row r="67" spans="1:16" x14ac:dyDescent="0.2">
      <c r="A67" s="10"/>
      <c r="B67" s="113" t="s">
        <v>34</v>
      </c>
      <c r="C67" s="114"/>
      <c r="D67" s="8" t="s">
        <v>8</v>
      </c>
      <c r="E67" s="52">
        <f>2.94*0.98</f>
        <v>2.8811999999999998</v>
      </c>
      <c r="F67" s="54"/>
      <c r="G67" s="123">
        <f>583.1*0.98</f>
        <v>571.43799999999999</v>
      </c>
      <c r="H67" s="124"/>
      <c r="I67" s="9">
        <f>196*0.98</f>
        <v>192.07999999999998</v>
      </c>
      <c r="J67" s="52">
        <f>49*0.98</f>
        <v>48.019999999999996</v>
      </c>
      <c r="K67" s="54"/>
      <c r="L67" s="52">
        <f>49*0.98</f>
        <v>48.019999999999996</v>
      </c>
      <c r="M67" s="54"/>
      <c r="N67" s="9">
        <f>161.7*0.98</f>
        <v>158.46599999999998</v>
      </c>
      <c r="O67" s="36"/>
      <c r="P67" s="20"/>
    </row>
    <row r="68" spans="1:16" ht="25.5" x14ac:dyDescent="0.2">
      <c r="A68" s="10"/>
      <c r="B68" s="115"/>
      <c r="C68" s="116"/>
      <c r="D68" s="11" t="s">
        <v>9</v>
      </c>
      <c r="E68" s="52">
        <f>2.92*0.98</f>
        <v>2.8615999999999997</v>
      </c>
      <c r="F68" s="54"/>
      <c r="G68" s="123">
        <f>573.3*0.98</f>
        <v>561.83399999999995</v>
      </c>
      <c r="H68" s="124"/>
      <c r="I68" s="9">
        <f>132.3*0.98</f>
        <v>129.654</v>
      </c>
      <c r="J68" s="52">
        <f>29.4*0.98</f>
        <v>28.811999999999998</v>
      </c>
      <c r="K68" s="54"/>
      <c r="L68" s="52">
        <f>29.4*0.98</f>
        <v>28.811999999999998</v>
      </c>
      <c r="M68" s="54"/>
      <c r="N68" s="9">
        <f>161.7*0.98</f>
        <v>158.46599999999998</v>
      </c>
      <c r="O68" s="36"/>
      <c r="P68" s="20"/>
    </row>
    <row r="69" spans="1:16" ht="25.5" x14ac:dyDescent="0.2">
      <c r="A69" s="10"/>
      <c r="B69" s="115"/>
      <c r="C69" s="116"/>
      <c r="D69" s="11" t="s">
        <v>10</v>
      </c>
      <c r="E69" s="52">
        <f>2.87*0.98</f>
        <v>2.8126000000000002</v>
      </c>
      <c r="F69" s="54"/>
      <c r="G69" s="123">
        <f>568.4*0.98</f>
        <v>557.03199999999993</v>
      </c>
      <c r="H69" s="124"/>
      <c r="I69" s="9">
        <f>127.4*0.98</f>
        <v>124.852</v>
      </c>
      <c r="J69" s="52">
        <f>29.4*0.98</f>
        <v>28.811999999999998</v>
      </c>
      <c r="K69" s="54"/>
      <c r="L69" s="52">
        <f>29.4*0.98</f>
        <v>28.811999999999998</v>
      </c>
      <c r="M69" s="54"/>
      <c r="N69" s="9">
        <f>156.8*0.98</f>
        <v>153.66400000000002</v>
      </c>
      <c r="O69" s="36"/>
      <c r="P69" s="20"/>
    </row>
    <row r="70" spans="1:16" ht="25.5" x14ac:dyDescent="0.2">
      <c r="A70" s="10"/>
      <c r="B70" s="115"/>
      <c r="C70" s="116"/>
      <c r="D70" s="11" t="s">
        <v>11</v>
      </c>
      <c r="E70" s="52">
        <f>2.79*0.98</f>
        <v>2.7342</v>
      </c>
      <c r="F70" s="54"/>
      <c r="G70" s="123">
        <f>563.5*0.98</f>
        <v>552.23</v>
      </c>
      <c r="H70" s="124"/>
      <c r="I70" s="9">
        <f>122.5*0.98</f>
        <v>120.05</v>
      </c>
      <c r="J70" s="52">
        <f>29.4*0.98</f>
        <v>28.811999999999998</v>
      </c>
      <c r="K70" s="54"/>
      <c r="L70" s="52">
        <f>29.4*0.98</f>
        <v>28.811999999999998</v>
      </c>
      <c r="M70" s="54"/>
      <c r="N70" s="9">
        <f>151.9*0.98</f>
        <v>148.86199999999999</v>
      </c>
      <c r="O70" s="36"/>
      <c r="P70" s="20"/>
    </row>
    <row r="71" spans="1:16" x14ac:dyDescent="0.2">
      <c r="A71" s="10"/>
      <c r="B71" s="117"/>
      <c r="C71" s="118"/>
      <c r="D71" s="8" t="s">
        <v>12</v>
      </c>
      <c r="E71" s="52">
        <f>2.7*0.98</f>
        <v>2.6459999999999999</v>
      </c>
      <c r="F71" s="54"/>
      <c r="G71" s="123">
        <f>558.6*0.98</f>
        <v>547.428</v>
      </c>
      <c r="H71" s="124"/>
      <c r="I71" s="9">
        <f>117.6*0.98</f>
        <v>115.24799999999999</v>
      </c>
      <c r="J71" s="52">
        <f>29.4*0.98</f>
        <v>28.811999999999998</v>
      </c>
      <c r="K71" s="54"/>
      <c r="L71" s="52">
        <f>29.4*0.98</f>
        <v>28.811999999999998</v>
      </c>
      <c r="M71" s="54"/>
      <c r="N71" s="9">
        <f>147*0.98</f>
        <v>144.06</v>
      </c>
      <c r="O71" s="36"/>
      <c r="P71" s="20"/>
    </row>
  </sheetData>
  <mergeCells count="248">
    <mergeCell ref="B48:P48"/>
    <mergeCell ref="B49:P49"/>
    <mergeCell ref="B40:S40"/>
    <mergeCell ref="T40:AK40"/>
    <mergeCell ref="AL40:AM40"/>
    <mergeCell ref="AL13:AM13"/>
    <mergeCell ref="B14:S14"/>
    <mergeCell ref="T14:AK14"/>
    <mergeCell ref="AL14:AM14"/>
    <mergeCell ref="B15:S15"/>
    <mergeCell ref="T15:AK15"/>
    <mergeCell ref="AL15:AM15"/>
    <mergeCell ref="B16:S16"/>
    <mergeCell ref="T16:AK16"/>
    <mergeCell ref="AL16:AM16"/>
    <mergeCell ref="M28:O28"/>
    <mergeCell ref="K28:L28"/>
    <mergeCell ref="K30:Q30"/>
    <mergeCell ref="C30:E30"/>
    <mergeCell ref="A30:B30"/>
    <mergeCell ref="A29:Q29"/>
    <mergeCell ref="P28:Q28"/>
    <mergeCell ref="B13:AK13"/>
    <mergeCell ref="AL8:AM8"/>
    <mergeCell ref="B9:S9"/>
    <mergeCell ref="AL9:AM9"/>
    <mergeCell ref="B10:S10"/>
    <mergeCell ref="AL10:AM10"/>
    <mergeCell ref="B11:S11"/>
    <mergeCell ref="AL11:AM11"/>
    <mergeCell ref="B12:S12"/>
    <mergeCell ref="AL12:AM12"/>
    <mergeCell ref="L67:M67"/>
    <mergeCell ref="E68:F68"/>
    <mergeCell ref="G68:H68"/>
    <mergeCell ref="J68:K68"/>
    <mergeCell ref="L68:M68"/>
    <mergeCell ref="E69:F69"/>
    <mergeCell ref="E71:F71"/>
    <mergeCell ref="G71:H71"/>
    <mergeCell ref="J71:K71"/>
    <mergeCell ref="L71:M71"/>
    <mergeCell ref="G69:H69"/>
    <mergeCell ref="J69:K69"/>
    <mergeCell ref="L69:M69"/>
    <mergeCell ref="E70:F70"/>
    <mergeCell ref="G70:H70"/>
    <mergeCell ref="J70:K70"/>
    <mergeCell ref="L70:M70"/>
    <mergeCell ref="O62:P62"/>
    <mergeCell ref="B63:C63"/>
    <mergeCell ref="E63:F63"/>
    <mergeCell ref="G63:N63"/>
    <mergeCell ref="O63:P71"/>
    <mergeCell ref="B64:C64"/>
    <mergeCell ref="E64:F64"/>
    <mergeCell ref="G64:H64"/>
    <mergeCell ref="J64:K64"/>
    <mergeCell ref="L64:M64"/>
    <mergeCell ref="B65:C65"/>
    <mergeCell ref="E65:F65"/>
    <mergeCell ref="G65:H65"/>
    <mergeCell ref="J65:K65"/>
    <mergeCell ref="L65:M65"/>
    <mergeCell ref="B66:C66"/>
    <mergeCell ref="E66:F66"/>
    <mergeCell ref="G66:H66"/>
    <mergeCell ref="J66:K66"/>
    <mergeCell ref="L66:M66"/>
    <mergeCell ref="B67:C71"/>
    <mergeCell ref="E67:F67"/>
    <mergeCell ref="G67:H67"/>
    <mergeCell ref="J67:K67"/>
    <mergeCell ref="B61:C61"/>
    <mergeCell ref="E61:F61"/>
    <mergeCell ref="G61:H61"/>
    <mergeCell ref="J61:K61"/>
    <mergeCell ref="L61:M61"/>
    <mergeCell ref="A62:N62"/>
    <mergeCell ref="E59:F59"/>
    <mergeCell ref="G59:H59"/>
    <mergeCell ref="J59:K59"/>
    <mergeCell ref="L59:M59"/>
    <mergeCell ref="E60:F60"/>
    <mergeCell ref="G60:H60"/>
    <mergeCell ref="J60:K60"/>
    <mergeCell ref="L60:M60"/>
    <mergeCell ref="B55:C55"/>
    <mergeCell ref="E55:F55"/>
    <mergeCell ref="G55:H55"/>
    <mergeCell ref="J55:K55"/>
    <mergeCell ref="L55:M55"/>
    <mergeCell ref="B56:C60"/>
    <mergeCell ref="E56:F56"/>
    <mergeCell ref="G56:H56"/>
    <mergeCell ref="J56:K56"/>
    <mergeCell ref="L56:M56"/>
    <mergeCell ref="I52:O52"/>
    <mergeCell ref="E57:F57"/>
    <mergeCell ref="G57:H57"/>
    <mergeCell ref="J57:K57"/>
    <mergeCell ref="L57:M57"/>
    <mergeCell ref="E58:F58"/>
    <mergeCell ref="G58:H58"/>
    <mergeCell ref="J58:K58"/>
    <mergeCell ref="L58:M58"/>
    <mergeCell ref="P52:P60"/>
    <mergeCell ref="B53:C53"/>
    <mergeCell ref="E53:F53"/>
    <mergeCell ref="G53:H53"/>
    <mergeCell ref="J53:K53"/>
    <mergeCell ref="L53:M53"/>
    <mergeCell ref="B54:C54"/>
    <mergeCell ref="E54:F54"/>
    <mergeCell ref="G54:H54"/>
    <mergeCell ref="J54:K54"/>
    <mergeCell ref="L54:M54"/>
    <mergeCell ref="A51:O51"/>
    <mergeCell ref="B52:C52"/>
    <mergeCell ref="E52:F52"/>
    <mergeCell ref="G52:H52"/>
    <mergeCell ref="B43:P43"/>
    <mergeCell ref="B44:P44"/>
    <mergeCell ref="B45:P45"/>
    <mergeCell ref="B46:P46"/>
    <mergeCell ref="B47:P47"/>
    <mergeCell ref="F38:G38"/>
    <mergeCell ref="H38:J38"/>
    <mergeCell ref="K38:L38"/>
    <mergeCell ref="M38:Q38"/>
    <mergeCell ref="B50:C50"/>
    <mergeCell ref="E50:F50"/>
    <mergeCell ref="G50:H50"/>
    <mergeCell ref="J50:K50"/>
    <mergeCell ref="L50:M50"/>
    <mergeCell ref="A32:B38"/>
    <mergeCell ref="C32:E38"/>
    <mergeCell ref="F32:G32"/>
    <mergeCell ref="H32:J32"/>
    <mergeCell ref="K32:L32"/>
    <mergeCell ref="M32:Q32"/>
    <mergeCell ref="F33:G33"/>
    <mergeCell ref="H33:J33"/>
    <mergeCell ref="K33:L33"/>
    <mergeCell ref="M33:Q33"/>
    <mergeCell ref="B41:P41"/>
    <mergeCell ref="Q41:AK49"/>
    <mergeCell ref="B42:P42"/>
    <mergeCell ref="F36:G36"/>
    <mergeCell ref="H36:J36"/>
    <mergeCell ref="K36:L36"/>
    <mergeCell ref="M36:Q36"/>
    <mergeCell ref="F37:G37"/>
    <mergeCell ref="H37:J37"/>
    <mergeCell ref="K37:L37"/>
    <mergeCell ref="M37:Q37"/>
    <mergeCell ref="F34:G34"/>
    <mergeCell ref="H34:J34"/>
    <mergeCell ref="K34:L34"/>
    <mergeCell ref="M34:Q34"/>
    <mergeCell ref="F35:G35"/>
    <mergeCell ref="H35:J35"/>
    <mergeCell ref="K35:L35"/>
    <mergeCell ref="M35:Q35"/>
    <mergeCell ref="A31:B31"/>
    <mergeCell ref="C31:E31"/>
    <mergeCell ref="F31:G31"/>
    <mergeCell ref="H31:J31"/>
    <mergeCell ref="K31:L31"/>
    <mergeCell ref="M31:Q31"/>
    <mergeCell ref="K25:L25"/>
    <mergeCell ref="M25:O25"/>
    <mergeCell ref="P25:Q25"/>
    <mergeCell ref="F26:G26"/>
    <mergeCell ref="H26:J26"/>
    <mergeCell ref="K26:L26"/>
    <mergeCell ref="M26:O26"/>
    <mergeCell ref="P26:Q26"/>
    <mergeCell ref="F27:G27"/>
    <mergeCell ref="H27:J27"/>
    <mergeCell ref="K27:L27"/>
    <mergeCell ref="M27:O27"/>
    <mergeCell ref="P27:Q27"/>
    <mergeCell ref="A21:B27"/>
    <mergeCell ref="C21:E27"/>
    <mergeCell ref="F21:G21"/>
    <mergeCell ref="H21:J21"/>
    <mergeCell ref="K21:L21"/>
    <mergeCell ref="M21:O21"/>
    <mergeCell ref="P21:Q21"/>
    <mergeCell ref="F22:G22"/>
    <mergeCell ref="H22:J22"/>
    <mergeCell ref="K22:L22"/>
    <mergeCell ref="M22:O22"/>
    <mergeCell ref="P22:Q22"/>
    <mergeCell ref="F23:G23"/>
    <mergeCell ref="H23:J23"/>
    <mergeCell ref="K23:L23"/>
    <mergeCell ref="M23:O23"/>
    <mergeCell ref="P23:Q23"/>
    <mergeCell ref="F24:G24"/>
    <mergeCell ref="H24:J24"/>
    <mergeCell ref="K24:L24"/>
    <mergeCell ref="M24:O24"/>
    <mergeCell ref="P24:Q24"/>
    <mergeCell ref="F25:G25"/>
    <mergeCell ref="H25:J25"/>
    <mergeCell ref="A20:B20"/>
    <mergeCell ref="C20:E20"/>
    <mergeCell ref="F20:G20"/>
    <mergeCell ref="H20:J20"/>
    <mergeCell ref="K20:L20"/>
    <mergeCell ref="M20:O20"/>
    <mergeCell ref="P2:Q2"/>
    <mergeCell ref="A18:Q18"/>
    <mergeCell ref="A19:B19"/>
    <mergeCell ref="C19:E19"/>
    <mergeCell ref="F19:G19"/>
    <mergeCell ref="H19:J19"/>
    <mergeCell ref="K19:L19"/>
    <mergeCell ref="M19:Q19"/>
    <mergeCell ref="P20:Q20"/>
    <mergeCell ref="B3:S3"/>
    <mergeCell ref="B4:S4"/>
    <mergeCell ref="B5:S5"/>
    <mergeCell ref="B6:S6"/>
    <mergeCell ref="A2:B2"/>
    <mergeCell ref="C2:E2"/>
    <mergeCell ref="F2:G2"/>
    <mergeCell ref="H2:J2"/>
    <mergeCell ref="K2:L2"/>
    <mergeCell ref="M2:O2"/>
    <mergeCell ref="F30:G30"/>
    <mergeCell ref="H30:J30"/>
    <mergeCell ref="B7:S7"/>
    <mergeCell ref="B8:S8"/>
    <mergeCell ref="A28:B28"/>
    <mergeCell ref="C28:E28"/>
    <mergeCell ref="F28:G28"/>
    <mergeCell ref="H28:J28"/>
    <mergeCell ref="A1:AN1"/>
    <mergeCell ref="T3:AK3"/>
    <mergeCell ref="AL3:AM3"/>
    <mergeCell ref="T4:AK12"/>
    <mergeCell ref="AL4:AM4"/>
    <mergeCell ref="AL5:AM5"/>
    <mergeCell ref="AL6:AM6"/>
    <mergeCell ref="AL7:AM7"/>
  </mergeCells>
  <printOptions horizontalCentered="1"/>
  <pageMargins left="0.45" right="0.45" top="0.75" bottom="0.75" header="0.3" footer="0.3"/>
  <pageSetup scale="40" fitToHeight="0" orientation="landscape" r:id="rId1"/>
  <headerFooter>
    <oddHeader>&amp;LGroup 38235, Award 23300
Electronic Montioring Products and Services (NASPO ValuePoint) (Statewide)&amp;RBuddi US, LLC
PC70432
August 2024</oddHeader>
    <oddFooter>&amp;L&amp;F
&amp;A</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NYS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Tillman</dc:creator>
  <cp:lastModifiedBy>Smi, Erin (OGS)</cp:lastModifiedBy>
  <cp:lastPrinted>2024-09-09T17:39:24Z</cp:lastPrinted>
  <dcterms:created xsi:type="dcterms:W3CDTF">2024-08-16T19:44:03Z</dcterms:created>
  <dcterms:modified xsi:type="dcterms:W3CDTF">2024-09-09T17:47:07Z</dcterms:modified>
</cp:coreProperties>
</file>