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updateLinks="never" codeName="ThisWorkbook"/>
  <mc:AlternateContent xmlns:mc="http://schemas.openxmlformats.org/markup-compatibility/2006">
    <mc:Choice Requires="x15">
      <x15ac:absPath xmlns:x15ac="http://schemas.microsoft.com/office/spreadsheetml/2010/11/ac" url="V:\ProcurementServices\OPTeam09\Auto\40524-23254 Buses,School\PriceAdjustments\2026-10 PPI\"/>
    </mc:Choice>
  </mc:AlternateContent>
  <xr:revisionPtr revIDLastSave="0" documentId="13_ncr:1_{8EEE1426-16FB-4D1A-A61A-E4C43F5A3022}" xr6:coauthVersionLast="47" xr6:coauthVersionMax="47" xr10:uidLastSave="{00000000-0000-0000-0000-000000000000}"/>
  <workbookProtection workbookAlgorithmName="SHA-512" workbookHashValue="YfqvgfKvROOrruCcreutWZ1HsVhAIJPAUMOiy5YGek31Ae5cEzWmOfRoNnZhD+cAFnkdWPNjfqnqsMC9rm2vEw==" workbookSaltValue="XXI9sVbpjrcjoMljvp6sqw==" workbookSpinCount="100000" lockStructure="1"/>
  <bookViews>
    <workbookView xWindow="-120" yWindow="-120" windowWidth="29040" windowHeight="15720" tabRatio="975" xr2:uid="{00000000-000D-0000-FFFF-FFFF00000000}"/>
  </bookViews>
  <sheets>
    <sheet name="Attachment 1 - Summary" sheetId="93" r:id="rId1"/>
    <sheet name="A (Item 2-G)" sheetId="123" r:id="rId2"/>
    <sheet name="A (Item 3-G)" sheetId="124" r:id="rId3"/>
    <sheet name="A (Item 3-EV)" sheetId="126" r:id="rId4"/>
    <sheet name="A (Item 4-G)" sheetId="104" r:id="rId5"/>
    <sheet name="A (Item 4-EV)" sheetId="127" r:id="rId6"/>
    <sheet name="A (Item 5-G)" sheetId="125" r:id="rId7"/>
    <sheet name="C (Item 1-D)" sheetId="117" r:id="rId8"/>
    <sheet name="C (Item 2-D)" sheetId="118" r:id="rId9"/>
    <sheet name="C (Item 2-EV)" sheetId="119" r:id="rId10"/>
    <sheet name="C (Item 3-D)" sheetId="120" r:id="rId11"/>
    <sheet name="C (Item 4-D)" sheetId="121" r:id="rId12"/>
    <sheet name="C (Item 4-EV)" sheetId="122" r:id="rId13"/>
    <sheet name="D (Item 3-EV)" sheetId="128" r:id="rId14"/>
    <sheet name="PPI Adj" sheetId="109" state="hidden" r:id="rId15"/>
  </sheets>
  <definedNames>
    <definedName name="_xlnm.Print_Area" localSheetId="3">'A (Item 3-EV)'!$A$1:$H$124</definedName>
    <definedName name="_xlnm.Print_Area" localSheetId="2">'A (Item 3-G)'!$A$1:$J$130</definedName>
    <definedName name="_xlnm.Print_Area" localSheetId="5">'A (Item 4-EV)'!$A$1:$F$124</definedName>
    <definedName name="_xlnm.Print_Area" localSheetId="4">'A (Item 4-G)'!$A$1:$H$130</definedName>
    <definedName name="_xlnm.Print_Area" localSheetId="6">'A (Item 5-G)'!$A$1:$I$130</definedName>
    <definedName name="_xlnm.Print_Area" localSheetId="0">'Attachment 1 - Summary'!$B$1:$G$14</definedName>
    <definedName name="_xlnm.Print_Area" localSheetId="7">'C (Item 1-D)'!$A$1:$G$135</definedName>
    <definedName name="_xlnm.Print_Area" localSheetId="8">'C (Item 2-D)'!$A$1:$H$135</definedName>
    <definedName name="_xlnm.Print_Area" localSheetId="10">'C (Item 3-D)'!$A$1:$G$135</definedName>
    <definedName name="_xlnm.Print_Area" localSheetId="11">'C (Item 4-D)'!$A$1:$H$135</definedName>
    <definedName name="_xlnm.Print_Area" localSheetId="12">'C (Item 4-EV)'!$A$1:$F$127</definedName>
    <definedName name="_xlnm.Print_Titles" localSheetId="1">'A (Item 2-G)'!$1:$3</definedName>
    <definedName name="_xlnm.Print_Titles" localSheetId="3">'A (Item 3-EV)'!$1:$3</definedName>
    <definedName name="_xlnm.Print_Titles" localSheetId="2">'A (Item 3-G)'!$1:$3</definedName>
    <definedName name="_xlnm.Print_Titles" localSheetId="5">'A (Item 4-EV)'!$1:$3</definedName>
    <definedName name="_xlnm.Print_Titles" localSheetId="4">'A (Item 4-G)'!$1:$3</definedName>
    <definedName name="_xlnm.Print_Titles" localSheetId="6">'A (Item 5-G)'!$1:$3</definedName>
    <definedName name="_xlnm.Print_Titles" localSheetId="7">'C (Item 1-D)'!$1:$3</definedName>
    <definedName name="_xlnm.Print_Titles" localSheetId="8">'C (Item 2-D)'!$1:$3</definedName>
    <definedName name="_xlnm.Print_Titles" localSheetId="9">'C (Item 2-EV)'!$1:$3</definedName>
    <definedName name="_xlnm.Print_Titles" localSheetId="10">'C (Item 3-D)'!$1:$3</definedName>
    <definedName name="_xlnm.Print_Titles" localSheetId="11">'C (Item 4-D)'!$1:$3</definedName>
    <definedName name="_xlnm.Print_Titles" localSheetId="12">'C (Item 4-EV)'!$1:$3</definedName>
    <definedName name="_xlnm.Print_Titles" localSheetId="13">'D (Item 3-EV)'!$1:$3</definedName>
    <definedName name="Z_FB9A4F81_F081_49F4_90CF_12DFB81B8806_.wvu.PrintArea" localSheetId="1" hidden="1">'A (Item 2-G)'!$A$3:$H$51</definedName>
    <definedName name="Z_FB9A4F81_F081_49F4_90CF_12DFB81B8806_.wvu.PrintArea" localSheetId="3" hidden="1">'A (Item 3-EV)'!$A$3:$I$51</definedName>
    <definedName name="Z_FB9A4F81_F081_49F4_90CF_12DFB81B8806_.wvu.PrintArea" localSheetId="2" hidden="1">'A (Item 3-G)'!$A$3:$H$51</definedName>
    <definedName name="Z_FB9A4F81_F081_49F4_90CF_12DFB81B8806_.wvu.PrintArea" localSheetId="5" hidden="1">'A (Item 4-EV)'!$A$3:$G$51</definedName>
    <definedName name="Z_FB9A4F81_F081_49F4_90CF_12DFB81B8806_.wvu.PrintArea" localSheetId="4" hidden="1">'A (Item 4-G)'!$A$3:$H$51</definedName>
    <definedName name="Z_FB9A4F81_F081_49F4_90CF_12DFB81B8806_.wvu.PrintArea" localSheetId="6" hidden="1">'A (Item 5-G)'!$A$3:$H$51</definedName>
    <definedName name="Z_FB9A4F81_F081_49F4_90CF_12DFB81B8806_.wvu.PrintArea" localSheetId="0" hidden="1">'Attachment 1 - Summary'!$B$1:$G$6</definedName>
    <definedName name="Z_FB9A4F81_F081_49F4_90CF_12DFB81B8806_.wvu.PrintArea" localSheetId="7" hidden="1">'C (Item 1-D)'!$A$3:$F$55</definedName>
    <definedName name="Z_FB9A4F81_F081_49F4_90CF_12DFB81B8806_.wvu.PrintArea" localSheetId="8" hidden="1">'C (Item 2-D)'!$A$3:$F$55</definedName>
    <definedName name="Z_FB9A4F81_F081_49F4_90CF_12DFB81B8806_.wvu.PrintArea" localSheetId="10" hidden="1">'C (Item 3-D)'!$A$3:$F$55</definedName>
    <definedName name="Z_FB9A4F81_F081_49F4_90CF_12DFB81B8806_.wvu.PrintArea" localSheetId="11" hidden="1">'C (Item 4-D)'!$A$3:$H$55</definedName>
    <definedName name="Z_FB9A4F81_F081_49F4_90CF_12DFB81B8806_.wvu.PrintTitles" localSheetId="1" hidden="1">'A (Item 2-G)'!$3:$3</definedName>
    <definedName name="Z_FB9A4F81_F081_49F4_90CF_12DFB81B8806_.wvu.PrintTitles" localSheetId="3" hidden="1">'A (Item 3-EV)'!$3:$3</definedName>
    <definedName name="Z_FB9A4F81_F081_49F4_90CF_12DFB81B8806_.wvu.PrintTitles" localSheetId="2" hidden="1">'A (Item 3-G)'!$3:$3</definedName>
    <definedName name="Z_FB9A4F81_F081_49F4_90CF_12DFB81B8806_.wvu.PrintTitles" localSheetId="5" hidden="1">'A (Item 4-EV)'!$3:$3</definedName>
    <definedName name="Z_FB9A4F81_F081_49F4_90CF_12DFB81B8806_.wvu.PrintTitles" localSheetId="4" hidden="1">'A (Item 4-G)'!$3:$3</definedName>
    <definedName name="Z_FB9A4F81_F081_49F4_90CF_12DFB81B8806_.wvu.PrintTitles" localSheetId="6" hidden="1">'A (Item 5-G)'!$3:$3</definedName>
    <definedName name="Z_FB9A4F81_F081_49F4_90CF_12DFB81B8806_.wvu.PrintTitles" localSheetId="7" hidden="1">'C (Item 1-D)'!$3:$3</definedName>
    <definedName name="Z_FB9A4F81_F081_49F4_90CF_12DFB81B8806_.wvu.PrintTitles" localSheetId="8" hidden="1">'C (Item 2-D)'!$3:$3</definedName>
    <definedName name="Z_FB9A4F81_F081_49F4_90CF_12DFB81B8806_.wvu.PrintTitles" localSheetId="10" hidden="1">'C (Item 3-D)'!$3:$3</definedName>
    <definedName name="Z_FB9A4F81_F081_49F4_90CF_12DFB81B8806_.wvu.PrintTitles" localSheetId="11" hidden="1">'C (Item 4-D)'!$3:$3</definedName>
    <definedName name="Z_FB9A4F81_F081_49F4_90CF_12DFB81B8806_.wvu.Rows" localSheetId="1" hidden="1">'A (Item 2-G)'!#REF!</definedName>
    <definedName name="Z_FB9A4F81_F081_49F4_90CF_12DFB81B8806_.wvu.Rows" localSheetId="3" hidden="1">'A (Item 3-EV)'!#REF!</definedName>
    <definedName name="Z_FB9A4F81_F081_49F4_90CF_12DFB81B8806_.wvu.Rows" localSheetId="2" hidden="1">'A (Item 3-G)'!#REF!</definedName>
    <definedName name="Z_FB9A4F81_F081_49F4_90CF_12DFB81B8806_.wvu.Rows" localSheetId="5" hidden="1">'A (Item 4-EV)'!#REF!</definedName>
    <definedName name="Z_FB9A4F81_F081_49F4_90CF_12DFB81B8806_.wvu.Rows" localSheetId="4" hidden="1">'A (Item 4-G)'!#REF!</definedName>
    <definedName name="Z_FB9A4F81_F081_49F4_90CF_12DFB81B8806_.wvu.Rows" localSheetId="6" hidden="1">'A (Item 5-G)'!#REF!</definedName>
    <definedName name="Z_FB9A4F81_F081_49F4_90CF_12DFB81B8806_.wvu.Rows" localSheetId="7" hidden="1">'C (Item 1-D)'!#REF!</definedName>
    <definedName name="Z_FB9A4F81_F081_49F4_90CF_12DFB81B8806_.wvu.Rows" localSheetId="8" hidden="1">'C (Item 2-D)'!#REF!</definedName>
    <definedName name="Z_FB9A4F81_F081_49F4_90CF_12DFB81B8806_.wvu.Rows" localSheetId="10" hidden="1">'C (Item 3-D)'!#REF!</definedName>
    <definedName name="Z_FB9A4F81_F081_49F4_90CF_12DFB81B8806_.wvu.Rows" localSheetId="11" hidden="1">'C (Item 4-D)'!#REF!</definedName>
  </definedNames>
  <calcPr calcId="191029"/>
  <customWorkbookViews>
    <customWorkbookView name="Jones, Matthew - Personal View" guid="{FB9A4F81-F081-49F4-90CF-12DFB81B8806}" mergeInterval="0" personalView="1" maximized="1" xWindow="-8" yWindow="-8" windowWidth="1296" windowHeight="1000" tabRatio="830" activeSheetId="7"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 i="128" l="1"/>
  <c r="A1" i="122"/>
  <c r="A1" i="121"/>
  <c r="A1" i="120"/>
  <c r="A1" i="119"/>
  <c r="A1" i="118"/>
  <c r="A1" i="117"/>
  <c r="A1" i="125"/>
  <c r="A1" i="127"/>
  <c r="A1" i="104"/>
  <c r="A1" i="126"/>
  <c r="A1" i="124"/>
  <c r="D5" i="109" l="1"/>
  <c r="D6" i="109" s="1"/>
  <c r="F21" i="118" s="1"/>
  <c r="G4" i="109"/>
  <c r="G5" i="109" s="1"/>
  <c r="G6" i="109" s="1"/>
  <c r="E4" i="109"/>
  <c r="H21" i="118" l="1"/>
  <c r="G21" i="118"/>
  <c r="H88" i="123"/>
  <c r="H78" i="123"/>
  <c r="F86" i="120"/>
  <c r="G86" i="118"/>
  <c r="F86" i="118"/>
  <c r="G86" i="120"/>
  <c r="H86" i="118"/>
  <c r="F21" i="126"/>
  <c r="F93" i="128"/>
  <c r="F86" i="128"/>
  <c r="F21" i="128"/>
  <c r="F90" i="128"/>
  <c r="F78" i="128"/>
  <c r="F94" i="128"/>
  <c r="F21" i="127"/>
  <c r="F91" i="127"/>
  <c r="H91" i="126"/>
  <c r="F86" i="126"/>
  <c r="F81" i="126"/>
  <c r="F84" i="126"/>
  <c r="F86" i="127"/>
  <c r="F83" i="126"/>
  <c r="F88" i="126"/>
  <c r="F22" i="126"/>
  <c r="F82" i="126"/>
  <c r="H21" i="126"/>
  <c r="F75" i="127"/>
  <c r="F90" i="127"/>
  <c r="F91" i="126"/>
  <c r="F85" i="126"/>
  <c r="F79" i="126"/>
  <c r="H90" i="126"/>
  <c r="F76" i="126"/>
  <c r="F90" i="126"/>
  <c r="H83" i="126"/>
  <c r="F89" i="126"/>
  <c r="F75" i="126"/>
  <c r="H82" i="126"/>
  <c r="F81" i="127"/>
  <c r="H86" i="126"/>
  <c r="F87" i="127"/>
  <c r="H75" i="126"/>
  <c r="F83" i="127"/>
  <c r="H87" i="126"/>
  <c r="H81" i="126"/>
  <c r="F82" i="127"/>
  <c r="H94" i="125"/>
  <c r="H84" i="125"/>
  <c r="F92" i="125"/>
  <c r="F81" i="125"/>
  <c r="H94" i="104"/>
  <c r="H84" i="104"/>
  <c r="F92" i="104"/>
  <c r="F81" i="104"/>
  <c r="J94" i="124"/>
  <c r="J79" i="124"/>
  <c r="H87" i="124"/>
  <c r="F96" i="124"/>
  <c r="F85" i="124"/>
  <c r="H21" i="124"/>
  <c r="H82" i="123"/>
  <c r="H96" i="124"/>
  <c r="F21" i="124"/>
  <c r="H89" i="125"/>
  <c r="H89" i="104"/>
  <c r="F77" i="104"/>
  <c r="H94" i="124"/>
  <c r="F81" i="124"/>
  <c r="H21" i="123"/>
  <c r="H89" i="124"/>
  <c r="H96" i="125"/>
  <c r="H85" i="104"/>
  <c r="H78" i="124"/>
  <c r="H93" i="125"/>
  <c r="H82" i="125"/>
  <c r="F89" i="125"/>
  <c r="F79" i="125"/>
  <c r="H93" i="104"/>
  <c r="H82" i="104"/>
  <c r="F89" i="104"/>
  <c r="F79" i="104"/>
  <c r="J93" i="124"/>
  <c r="J78" i="124"/>
  <c r="H86" i="124"/>
  <c r="F94" i="124"/>
  <c r="F84" i="124"/>
  <c r="F22" i="124"/>
  <c r="H81" i="123"/>
  <c r="H85" i="124"/>
  <c r="F82" i="124"/>
  <c r="H79" i="123"/>
  <c r="F87" i="125"/>
  <c r="F77" i="125"/>
  <c r="H79" i="104"/>
  <c r="J89" i="124"/>
  <c r="H84" i="124"/>
  <c r="H95" i="123"/>
  <c r="J82" i="124"/>
  <c r="H91" i="123"/>
  <c r="F82" i="125"/>
  <c r="F93" i="104"/>
  <c r="F86" i="124"/>
  <c r="H92" i="125"/>
  <c r="H81" i="125"/>
  <c r="F88" i="125"/>
  <c r="F78" i="125"/>
  <c r="H92" i="104"/>
  <c r="H81" i="104"/>
  <c r="F88" i="104"/>
  <c r="F78" i="104"/>
  <c r="J92" i="124"/>
  <c r="F93" i="124"/>
  <c r="H79" i="125"/>
  <c r="F87" i="104"/>
  <c r="F92" i="124"/>
  <c r="H79" i="124"/>
  <c r="H85" i="125"/>
  <c r="H88" i="124"/>
  <c r="H88" i="125"/>
  <c r="H78" i="125"/>
  <c r="F86" i="125"/>
  <c r="F22" i="125"/>
  <c r="H88" i="104"/>
  <c r="H78" i="104"/>
  <c r="F86" i="104"/>
  <c r="F22" i="104"/>
  <c r="J88" i="124"/>
  <c r="H93" i="124"/>
  <c r="H82" i="124"/>
  <c r="F89" i="124"/>
  <c r="F79" i="124"/>
  <c r="H93" i="123"/>
  <c r="F94" i="125"/>
  <c r="F84" i="125"/>
  <c r="H86" i="104"/>
  <c r="F84" i="104"/>
  <c r="F87" i="124"/>
  <c r="F93" i="125"/>
  <c r="J96" i="124"/>
  <c r="H87" i="123"/>
  <c r="H87" i="125"/>
  <c r="F96" i="125"/>
  <c r="F85" i="125"/>
  <c r="H21" i="125"/>
  <c r="H87" i="104"/>
  <c r="F96" i="104"/>
  <c r="F85" i="104"/>
  <c r="H21" i="104"/>
  <c r="J87" i="124"/>
  <c r="H92" i="124"/>
  <c r="H81" i="124"/>
  <c r="F88" i="124"/>
  <c r="F78" i="124"/>
  <c r="H92" i="123"/>
  <c r="H86" i="125"/>
  <c r="F21" i="125"/>
  <c r="F94" i="104"/>
  <c r="F21" i="104"/>
  <c r="F77" i="124"/>
  <c r="H96" i="104"/>
  <c r="F82" i="104"/>
  <c r="J81" i="124"/>
  <c r="J21" i="124"/>
  <c r="F93" i="123"/>
  <c r="F81" i="123"/>
  <c r="F78" i="123"/>
  <c r="F88" i="123"/>
  <c r="F87" i="123"/>
  <c r="F84" i="123"/>
  <c r="F82" i="123"/>
  <c r="F92" i="123"/>
  <c r="F79" i="123"/>
  <c r="F91" i="123"/>
  <c r="F22" i="123"/>
  <c r="F86" i="123"/>
  <c r="F95" i="123"/>
  <c r="F21" i="123"/>
  <c r="F21" i="122"/>
  <c r="F85" i="122"/>
  <c r="H86" i="121"/>
  <c r="H100" i="121"/>
  <c r="H85" i="121"/>
  <c r="G96" i="121"/>
  <c r="F100" i="121"/>
  <c r="F98" i="120"/>
  <c r="F95" i="122"/>
  <c r="F83" i="122"/>
  <c r="G86" i="121"/>
  <c r="H99" i="121"/>
  <c r="H84" i="121"/>
  <c r="G94" i="121"/>
  <c r="F99" i="121"/>
  <c r="F84" i="121"/>
  <c r="G102" i="120"/>
  <c r="G88" i="120"/>
  <c r="F94" i="120"/>
  <c r="G84" i="120"/>
  <c r="F79" i="122"/>
  <c r="G88" i="121"/>
  <c r="G21" i="120"/>
  <c r="F94" i="122"/>
  <c r="F81" i="122"/>
  <c r="F86" i="121"/>
  <c r="H97" i="121"/>
  <c r="G84" i="121"/>
  <c r="G92" i="121"/>
  <c r="F97" i="121"/>
  <c r="G99" i="120"/>
  <c r="G101" i="120"/>
  <c r="G85" i="120"/>
  <c r="F92" i="120"/>
  <c r="G100" i="120"/>
  <c r="G21" i="121"/>
  <c r="H98" i="118"/>
  <c r="F88" i="120"/>
  <c r="G90" i="120"/>
  <c r="F93" i="122"/>
  <c r="F80" i="122"/>
  <c r="H21" i="121"/>
  <c r="H96" i="121"/>
  <c r="G102" i="121"/>
  <c r="G90" i="121"/>
  <c r="F96" i="121"/>
  <c r="F99" i="120"/>
  <c r="F90" i="120"/>
  <c r="H94" i="121"/>
  <c r="F94" i="121"/>
  <c r="F102" i="120"/>
  <c r="F85" i="121"/>
  <c r="F92" i="122"/>
  <c r="G101" i="121"/>
  <c r="G97" i="120"/>
  <c r="F21" i="120"/>
  <c r="F91" i="122"/>
  <c r="H98" i="121"/>
  <c r="F21" i="121"/>
  <c r="H92" i="121"/>
  <c r="G100" i="121"/>
  <c r="G85" i="121"/>
  <c r="F92" i="121"/>
  <c r="G98" i="118"/>
  <c r="G96" i="120"/>
  <c r="F101" i="120"/>
  <c r="F85" i="120"/>
  <c r="F100" i="120"/>
  <c r="F84" i="120"/>
  <c r="F96" i="120"/>
  <c r="F89" i="122"/>
  <c r="G98" i="121"/>
  <c r="H102" i="121"/>
  <c r="H90" i="121"/>
  <c r="G99" i="121"/>
  <c r="F102" i="121"/>
  <c r="F90" i="121"/>
  <c r="F98" i="118"/>
  <c r="G94" i="120"/>
  <c r="F97" i="120"/>
  <c r="F87" i="122"/>
  <c r="F98" i="121"/>
  <c r="H101" i="121"/>
  <c r="H88" i="121"/>
  <c r="G97" i="121"/>
  <c r="F101" i="121"/>
  <c r="F88" i="121"/>
  <c r="G98" i="120"/>
  <c r="G92" i="120"/>
  <c r="F95" i="119"/>
  <c r="F83" i="119"/>
  <c r="F94" i="119"/>
  <c r="F81" i="119"/>
  <c r="F80" i="119"/>
  <c r="F92" i="119"/>
  <c r="F91" i="119"/>
  <c r="F87" i="119"/>
  <c r="F85" i="119"/>
  <c r="F93" i="119"/>
  <c r="F89" i="119"/>
  <c r="F21" i="119"/>
  <c r="F79" i="119"/>
  <c r="H102" i="118"/>
  <c r="H101" i="118"/>
  <c r="H88" i="118"/>
  <c r="G96" i="118"/>
  <c r="F101" i="118"/>
  <c r="F88" i="118"/>
  <c r="G94" i="118"/>
  <c r="F85" i="118"/>
  <c r="F99" i="118"/>
  <c r="H97" i="118"/>
  <c r="F97" i="118"/>
  <c r="G88" i="118"/>
  <c r="G100" i="118"/>
  <c r="G84" i="118"/>
  <c r="H100" i="118"/>
  <c r="H85" i="118"/>
  <c r="F100" i="118"/>
  <c r="G92" i="118"/>
  <c r="F84" i="118"/>
  <c r="G90" i="118"/>
  <c r="H96" i="118"/>
  <c r="G85" i="118"/>
  <c r="F92" i="118"/>
  <c r="F90" i="118"/>
  <c r="H99" i="118"/>
  <c r="H84" i="118"/>
  <c r="G102" i="118"/>
  <c r="F96" i="118"/>
  <c r="H94" i="118"/>
  <c r="F94" i="118"/>
  <c r="G97" i="118"/>
  <c r="G101" i="118"/>
  <c r="H90" i="118"/>
  <c r="F102" i="118"/>
  <c r="H92" i="118"/>
  <c r="G99" i="118"/>
  <c r="G100" i="117"/>
  <c r="G99" i="117"/>
  <c r="G98" i="117"/>
  <c r="G85" i="117"/>
  <c r="F96" i="117"/>
  <c r="G21" i="117"/>
  <c r="G84" i="117"/>
  <c r="F94" i="117"/>
  <c r="F21" i="117"/>
  <c r="F102" i="117"/>
  <c r="F92" i="117"/>
  <c r="F101" i="117"/>
  <c r="F90" i="117"/>
  <c r="G102" i="117"/>
  <c r="G92" i="117"/>
  <c r="F100" i="117"/>
  <c r="F88" i="117"/>
  <c r="G101" i="117"/>
  <c r="G90" i="117"/>
  <c r="F99" i="117"/>
  <c r="F86" i="117"/>
  <c r="G88" i="117"/>
  <c r="F98" i="117"/>
  <c r="F85" i="117"/>
  <c r="G86" i="117"/>
  <c r="F97" i="117"/>
  <c r="F84" i="117"/>
  <c r="G97" i="117"/>
  <c r="G96" i="117"/>
  <c r="G94" i="117"/>
  <c r="A2" i="104"/>
</calcChain>
</file>

<file path=xl/sharedStrings.xml><?xml version="1.0" encoding="utf-8"?>
<sst xmlns="http://schemas.openxmlformats.org/spreadsheetml/2006/main" count="4393" uniqueCount="613">
  <si>
    <t>Chassis Make</t>
  </si>
  <si>
    <t>Chassis Model</t>
  </si>
  <si>
    <t>Chassis Model Code</t>
  </si>
  <si>
    <t>Body Make</t>
  </si>
  <si>
    <t>Body Model</t>
  </si>
  <si>
    <t>Body Model Code</t>
  </si>
  <si>
    <t>Category</t>
  </si>
  <si>
    <t>Specification</t>
  </si>
  <si>
    <t>General</t>
  </si>
  <si>
    <t>Engine</t>
  </si>
  <si>
    <t>Transmission</t>
  </si>
  <si>
    <t xml:space="preserve">Front Axle </t>
  </si>
  <si>
    <t>Tires</t>
  </si>
  <si>
    <t>Wheelchair Lift</t>
  </si>
  <si>
    <t>Air Conditioning</t>
  </si>
  <si>
    <t>Name and description of worksheets included in this workbook:</t>
  </si>
  <si>
    <t>Rear Axle</t>
  </si>
  <si>
    <t>Gasoline</t>
  </si>
  <si>
    <t>Pupil Capacity</t>
  </si>
  <si>
    <t>Diesel</t>
  </si>
  <si>
    <t>Additional Body Section NYS Contract Price</t>
  </si>
  <si>
    <t>Capacity</t>
  </si>
  <si>
    <t>Front axle capacity [lbs]:</t>
  </si>
  <si>
    <t>Rear axle capacity [lbs]:</t>
  </si>
  <si>
    <t>Gross Axle Weight Rating (GAWR) [lbs]:</t>
  </si>
  <si>
    <t>Alternator</t>
  </si>
  <si>
    <t>Battery(ies)</t>
  </si>
  <si>
    <t>Door (Entrance)</t>
  </si>
  <si>
    <t xml:space="preserve">Fuel Tank(s) </t>
  </si>
  <si>
    <t xml:space="preserve">Seatbelt (ambulatory) </t>
  </si>
  <si>
    <t>Make &amp; Model:</t>
  </si>
  <si>
    <t>Stop Arm(s) (Power)</t>
  </si>
  <si>
    <t>8 Lamp Warning System (School Bus)</t>
  </si>
  <si>
    <t>Optional Equipment</t>
  </si>
  <si>
    <t>Child Presence Check / Alarm</t>
  </si>
  <si>
    <t>Glass (Tinted)</t>
  </si>
  <si>
    <t>Rear Axle, "No Spin"</t>
  </si>
  <si>
    <t>Roof Ventilator / Emergency Exit</t>
  </si>
  <si>
    <t>White Roof</t>
  </si>
  <si>
    <t>Crossing Arm</t>
  </si>
  <si>
    <t>Vandal Lock</t>
  </si>
  <si>
    <t>Additional Options NYS Discount</t>
  </si>
  <si>
    <t>Base Item NYS Contract Price</t>
  </si>
  <si>
    <t>Delivery Time</t>
  </si>
  <si>
    <t>Electrical</t>
  </si>
  <si>
    <t>Units shall have headlights turned on when the engine is running.</t>
  </si>
  <si>
    <t>Door (Rear Emergency Exit)</t>
  </si>
  <si>
    <t>Manufacturer's standard insulated floor design shall be provided throughout the School Bus.</t>
  </si>
  <si>
    <t>Floor</t>
  </si>
  <si>
    <t>Heaters</t>
  </si>
  <si>
    <t>Horns</t>
  </si>
  <si>
    <t>Mirrors</t>
  </si>
  <si>
    <t>Steering</t>
  </si>
  <si>
    <t>Power steering</t>
  </si>
  <si>
    <t>Seating</t>
  </si>
  <si>
    <t>"School Bus" Signs</t>
  </si>
  <si>
    <t>Exterior Reflective Markings</t>
  </si>
  <si>
    <t xml:space="preserve">Length (bumper to bumper) [inches]: </t>
  </si>
  <si>
    <t>Wheelbase [inches]:</t>
  </si>
  <si>
    <t>Dimensions</t>
  </si>
  <si>
    <t>Tires (Snow)</t>
  </si>
  <si>
    <t>Tires (All-Season)</t>
  </si>
  <si>
    <t>Automatic transmission</t>
  </si>
  <si>
    <t>Driver's compartment dome light shall be so directed to provide illumination for the bus driver and be controlled by an independent switch.</t>
  </si>
  <si>
    <t>All exterior lamps, except headlamps, shall be Light Emitting Diode (LED) design that meet applicable SAE standards.</t>
  </si>
  <si>
    <t xml:space="preserve">An electrical horn(s) shall be provided that meets SAE standard J377. </t>
  </si>
  <si>
    <t xml:space="preserve">Minimum 24 </t>
  </si>
  <si>
    <t>Number of rows:</t>
  </si>
  <si>
    <t>Number of Pupils:</t>
  </si>
  <si>
    <t>Body width (inside) [inches]:</t>
  </si>
  <si>
    <t xml:space="preserve">Body headroom (standard) [inches]: </t>
  </si>
  <si>
    <t>Option Code, Make &amp; Model:</t>
  </si>
  <si>
    <t xml:space="preserve">Option Code, Make &amp; Model:
</t>
  </si>
  <si>
    <t xml:space="preserve">Capacity [amps]:
</t>
  </si>
  <si>
    <t>Model or Option Code:</t>
  </si>
  <si>
    <t>Number of batteries:</t>
  </si>
  <si>
    <t>CCA of each battery:</t>
  </si>
  <si>
    <t>Type and clear width [inches]:</t>
  </si>
  <si>
    <t>Capacity [gallons]:</t>
  </si>
  <si>
    <t>The exterior driving mirrors shall be the heated defrosting type with their own switch and pilot light.  Crossview mirrors shall be provided at front corners of each bus.</t>
  </si>
  <si>
    <t xml:space="preserve">Manufacturer's standard or optional seat spacing that meets or exceeds the NYCRR minimum requirement for the respective class of School Bus with the minimum Pupil capacity stated above. </t>
  </si>
  <si>
    <t>Shall include lower glass.</t>
  </si>
  <si>
    <t>Capacity - Add One (1) Row of Seating</t>
  </si>
  <si>
    <t>Capacity - Delete One (1) Row of Seating</t>
  </si>
  <si>
    <t>The manufacturer’s standard device (e.g., power-lock, limited-slip, no-spin, positive-traction).</t>
  </si>
  <si>
    <t>Floor (Flat) With Recessed Wheelchair Track Throughout Entire Body</t>
  </si>
  <si>
    <t xml:space="preserve">Floor With Recessed Wheelchair Restraint Track For One Wheelchair Station. </t>
  </si>
  <si>
    <t>The School Bus Body shall be provided with a factory-painted white roof in lieu of school bus yellow.  White shall NOT extend below the bottom of the marker lights.</t>
  </si>
  <si>
    <t>Auxiliary Engine Coolant Heater</t>
  </si>
  <si>
    <t>Minimum four (4) rows for sixteen (16) Pupils</t>
  </si>
  <si>
    <t>Additional Passenger Area Heater (Under Passenger Seat)</t>
  </si>
  <si>
    <t>School Bus Safety Camera</t>
  </si>
  <si>
    <t>Multifunction School Activity Bus</t>
  </si>
  <si>
    <t xml:space="preserve">Alternator shall be of the integrally-rectified type, with an SAE continuous ampere output rating that is capable of at least powering all electrical devices energized simultaneously and an additional output of ten (10) or more amperes; and shall be driven by a single serpentine belt (or equivalent) or gear driven, and shall have full-transistor type voltage regulators.  Wiring harness sizes shall be not less than the alternator manufacturer's recommendations. </t>
  </si>
  <si>
    <t xml:space="preserve">Shall be entrance-door activated, electric or air-positioning type, and be provided streetside on all School Buses.  It shall be compliant with FMVSS (49 CFR 571.131). </t>
  </si>
  <si>
    <t>Both front and rear shall comply with Article 9, Section 375.20 of the New York State Vehicle and Traffic Law.</t>
  </si>
  <si>
    <t>Shall be compliant with SAE J887.</t>
  </si>
  <si>
    <t>The School Bus windshield and Body windows shall have the manufacturer's typical options that provide tinted glass windows throughout the vehicle and shall comply with Article 9, Section 375.12a. of the New York State Vehicle and Traffic Law.</t>
  </si>
  <si>
    <t>Electric hydraulic type compliant with FMVSS (49 CFR 571.403 and 404). A safety switch to prevent operation of lift unless door(s) are opened, and a manual override system in case of power failure, shall be provided. The lift electric system shall be protected with an in-line fuse.</t>
  </si>
  <si>
    <t>Type of device:</t>
  </si>
  <si>
    <t xml:space="preserve">Make &amp; Model: </t>
  </si>
  <si>
    <t>Pick Up Allowance</t>
  </si>
  <si>
    <t>LOT A (Item 2-G)</t>
  </si>
  <si>
    <r>
      <t xml:space="preserve">Minimum passenger compartment heating shall meet the requirements of NYCRR, Title 17, Part 720.4(I) </t>
    </r>
    <r>
      <rPr>
        <i/>
        <sz val="10"/>
        <rFont val="Arial"/>
        <family val="2"/>
      </rPr>
      <t>Heaters</t>
    </r>
    <r>
      <rPr>
        <sz val="10"/>
        <rFont val="Arial"/>
        <family val="2"/>
      </rPr>
      <t>, or the latest revision thereof.</t>
    </r>
  </si>
  <si>
    <t>Type and style:</t>
  </si>
  <si>
    <t>Type:</t>
  </si>
  <si>
    <t>Shall be power operated by passenger door operating control - electric vacuum, or air powered.</t>
  </si>
  <si>
    <t>Shall be the Child Check-mate System Model EP 2, or Compatible Equivalent.</t>
  </si>
  <si>
    <t>Dual Rear Wheel (DRW)</t>
  </si>
  <si>
    <t>Lift capacity:</t>
  </si>
  <si>
    <t>BTU/H:</t>
  </si>
  <si>
    <t>Cowl to rear axle length [inches]:</t>
  </si>
  <si>
    <t>Front Tires Option Code:</t>
  </si>
  <si>
    <t>Front Tires Make &amp; Tread Designation:</t>
  </si>
  <si>
    <t>Rear Tires Option Code:</t>
  </si>
  <si>
    <t>Rear Tires Make &amp; Tread Designation:</t>
  </si>
  <si>
    <t>Number of forward gears:</t>
  </si>
  <si>
    <t>Gears direct or w/O.D.?:</t>
  </si>
  <si>
    <t>Gross Vehicle Weight Rating
(GVWR) [lbs]:</t>
  </si>
  <si>
    <t>Single Rear Wheel (SRW)</t>
  </si>
  <si>
    <t>Type A-1, SRW, Cutaway, 4 Rows
(Gasoline; Minimum 16 Pupils)</t>
  </si>
  <si>
    <t>Tab Color</t>
  </si>
  <si>
    <t>LOT A (Item 3-G)</t>
  </si>
  <si>
    <t>Rear Wheels</t>
  </si>
  <si>
    <t>Type A-2, DRW, Cutaway, 4 Rows
(Gasoline; Minimum 20 Pupils)</t>
  </si>
  <si>
    <t>Minimum four (4) rows for twenty (20) Pupils.</t>
  </si>
  <si>
    <t>Type II seat belts shall be provided for each individual seating space.  Seat belts shall meet current federal safety standards and shall be of a type approved by, and installed in accordance with, the rules and regulations established by NYS DOT in subdivision five (5) of section three-hundred eighty-three (383) of the New York State Vehicle and Traffic Laws dated July 30, 1986 and NYCRR, Title 17, Part 720, or the latest revision thereof.</t>
  </si>
  <si>
    <t>Snow tread tires shall be provided on all drive wheels.  Tires shall be Federal class D/A, STC (with snow traction capability), or class S/T, or A/T, AP with STC, or other class with STC. Tires of the same size and ply-rating as front tires shall be furnished on the rear wheels.  The price entered for this Optional Equipment shall be for two (2) tires.</t>
  </si>
  <si>
    <t>All-season tread, tubeless, radial tires having a Federal class designation S/T or STC shall be provided.  Tires shall be Michelin LTX M/S, or LTX M/S Commercial, or XPS Traction tread series, or Compatible Equivalent. The price entered for this Optional Equipment shall be for shall be for four (4) tires.</t>
  </si>
  <si>
    <t xml:space="preserve">In addition to manufacturer's standard and/or NYS DOT minimum requirements, install one (1) under seat heater meeting federal and state regulations, that provides heat for the passenger body area.  </t>
  </si>
  <si>
    <t>Add one (1) row of seating to an Additional Body Section that has been added to the Base Item.</t>
  </si>
  <si>
    <t>A conversion School Bus constructed using a cutaway front-section vehicle with a left side driver’s door, with a GVWR equal to or greater than 10,001 pounds and less than or equal to 21,500 pounds.</t>
  </si>
  <si>
    <t>Seat belts shall be provided for each individual seating space.  Seat belts shall meet current federal safety standards and shall be of a type approved by, and installed in accordance with, the rules and regulations established by NYS DOT in subdivision five (5) of section three-hundred eighty-three (383) of the New York State Vehicle and Traffic Laws dated July 30, 1986 and NYCRR, Title 17, Part 720, or the latest revision thereof.</t>
  </si>
  <si>
    <t>Snow tread tires shall be provided on all drive wheels.  Tires shall be Federal class D/A, STC (with snow traction capability), or class S/T, or A/T, AP with STC, or other class with STC. The price entered for this Optional Equipment shall be for four (4) tires.  Tires furnished on the rear wheels shall be the same size and adequate for axle's GAWR.</t>
  </si>
  <si>
    <t>All-season tread, tubeless, radial tires having a Federal class designation S/T or STC shall be provided.  Tires shall be Michelin LTX M/S, or LTX M/S Commercial, or XPS Traction tread series, or Compatible Equivalent. The price entered for this Optional Equipment shall be for six (6) tires.  Tires furnished on the rear wheels shall be the same size and adequate for axle's GAWR.</t>
  </si>
  <si>
    <t>Roof hatches shall provide static venting with the first unlatched position and provide a latch for release to the full opened emergency position, and be equipped with an exterior latch. Roof hatches shall be Transpec Standard Vent, Model 1970, Specialty Manufacturing 8600, 8900, or 9000 series, Spheros #550886A or 550887A, or Compatible Equivalent.</t>
  </si>
  <si>
    <t xml:space="preserve">NYS DOT Approval Number </t>
  </si>
  <si>
    <t>Vandal locks shall be provided on all emergency doors that can be opened from the outside of the School Bus.</t>
  </si>
  <si>
    <t>When tested with a starting temperature of at least 85°F inside and outside the School Bus, the air conditioning system must provide a minimum 20°F temperature drop throughout the interior of the School Bus within a twenty (20) minute time period.</t>
  </si>
  <si>
    <t>Number of air conditioning units
(including OEM if applicable):</t>
  </si>
  <si>
    <t>Engine shall have a manufacturer's standard water cooled engine complete with accessories, as called for under classification. Engine shall develop full-rated torque and horsepower without requiring the use of premium grade fuel for any condition of operation. If a Diesel engine is offered, it shall develop full-rated torque and horsepower with the use of both ultra low sulfur grade diesel fuel and renewable diesel fuel.</t>
  </si>
  <si>
    <t>A conversion School Bus constructed using a cutaway front-section vehicle with a left side driver’s door, with a GVWR of 10,000 pounds or less.</t>
  </si>
  <si>
    <t>Tires shall meet the minimum requirements for the Chassis Model, as published by the Chassis manufacturer.</t>
  </si>
  <si>
    <t>The unit shall be the Body manufacturer's typical recessed mounting track for a single wheelchair station. Unit does NOT include mounting upgrades for seating mounts to be compatible with the track, wheelchair restraints, or seats.
Insulated flooring contiguous to all track inserts shall be a non-hazardous material that is either not susceptible to, or is treated to prevent, decay and dry-rot. Additionally, the contiguous joint(s) between the floor pan and/or its insulating floor materials and/or rubber finish flooring shall have a non-hazardous adhesive/sealant that prevents moisture from migrating to any adjacent untreated floor-insulating materials that are subject to rotting.</t>
  </si>
  <si>
    <t xml:space="preserve">An automated photo monitoring device affixed to a School Bus in a location designated by the Authorized User, that activates when the School Bus stop arm is extended, and that is designed to detect and store an image of motor vehicles which overtake or pass School Buses in violation of Subdivision A of Section 1174 of Vehicle and Traffic Law.  </t>
  </si>
  <si>
    <t>Configure the School Bus bid for the Base Item as a Multifunction School Activity Bus as defined in FMVSS (49 CFR 571.3); (e.g., the same vehicle as the School Bus bid, except without the School Bus sign, the flashing lights for crossing Pupils, the stop arms on the sides, and the color of national school bus yellow).</t>
  </si>
  <si>
    <t>Delete one (1) full row of seating (both left and right sides) without removing a Body section from the Base Item, or altering the spacing between the remaining seats.</t>
  </si>
  <si>
    <t>Gasoline and diesel engines Base Items shall have a Twenty-Five (25) gallon fuel capacity. LPG and CNG shall have the minimum construction and protection required by NFPA.</t>
  </si>
  <si>
    <t>Low voltage fuel oil heater, Webasto Thermo Pro 90 or equivalent, used to preheat the engine coolant, for the purpose of reducing engine idling.  Heater output shall be a minimum of 30,000 BTU/H.  The heater shall be connected to the vehicle heating system using the same size and quality plumbing as the OEM Base Item. The heater shall function separately from the School Bus engine. For a School Bus that uses a fuel type other than diesel, the heater shall operate via a separate diesel fuel tank. For a diesel engine equipped School Bus, the heater shall use the same fuel tank and type of fuel supply lines as the original bus manufacturer provides.</t>
  </si>
  <si>
    <t>Description of Tab or Item</t>
  </si>
  <si>
    <t>PART 2: Pricing for the Base Item, Additional Body Section, and Additional Options</t>
  </si>
  <si>
    <t>PART 1: Product information for the Base Item(s) Awarded</t>
  </si>
  <si>
    <t>Information identifying the engine for the fuel type offered.</t>
  </si>
  <si>
    <t>The Model name of the Chassis.</t>
  </si>
  <si>
    <t>The OEM company name of a Chassis.</t>
  </si>
  <si>
    <t>The OEM code used to identify the subset of the Chassis Model.</t>
  </si>
  <si>
    <t>The Model name of the Body.</t>
  </si>
  <si>
    <t>The OEM company name of a Body.</t>
  </si>
  <si>
    <t>The OEM code used to identify the subset of the Body Model.</t>
  </si>
  <si>
    <t xml:space="preserve">The estimated delivery time for the School Bus, expressed in number of calendar days, required to make delivery after receipt of a final Purchase Order (After Receipt of Order (“ARO”)).  </t>
  </si>
  <si>
    <t xml:space="preserve">The dollar amount, per School Bus, that will be deducted from the Base Item NYS Contract Price, if the Authorized User elects to pick up the School Bus at the Contractor's location. </t>
  </si>
  <si>
    <t>The per unit NYS Contract Price (dollar amount) for the School Bus described in the Base Item Specifications. The Base Item NYS Contract Price includes any OEM fees, all customs duties and charges, all vehicle preparation and clean-up charges, NYS DOT inspection, installation charges, delivery and all other incidentals normally included with providing a School Bus, but excludes Optional Equipment, Additional Body Section(s), and Additional Options.</t>
  </si>
  <si>
    <t xml:space="preserve">The per unit NYS Contract Price (dollar amount) for adding one (1) Additional Body Section, excluding seats and other interior features, to the Base Item and the applicable Base Item NYS Contract Price. </t>
  </si>
  <si>
    <t>The minimum percentage amount that shall be deducted from the MSRP for all Additional Options purchased under the Contract for this Item.</t>
  </si>
  <si>
    <t>PART 3: Base Item Specifications</t>
  </si>
  <si>
    <t>Information provided in Yellow Cells</t>
  </si>
  <si>
    <t>PART 4: Optional Equipment Specifications</t>
  </si>
  <si>
    <t xml:space="preserve">All units with a capacity of ten (10) or more Pupils shall be equipped with exterior reflective markings as required by FMVSS (49 CFR 571.217) and NYCRR (Title 15, Department of Motor Vehicles, Part D, 46.12).  </t>
  </si>
  <si>
    <t>PART 4: Optional Equipment NYS Contract Pricing</t>
  </si>
  <si>
    <t>Optional Equipment (see Specifications and Equipment Provided below)</t>
  </si>
  <si>
    <t>The unit shall be the Body manufacturer's typical recessed mounting track on a raised flat floor throughout the entire passenger area to rear of front wheel wells, with tracks that would allow for multiple configurations of seats and wheelchair tie down positions that can be readily changed. Unit does NOT include mounting upgrades for seating mounts to be compatible with the track, wheelchair restraints, or seats.
Insulated flooring contiguous to all track inserts shall be a non-hazardous material that is either not susceptible to, or is treated to prevent, decay and dry-rot. Additionally, the contiguous joint(s) between the floor pan and/or its insulating floor materials and/or rubber finish flooring shall have a non-hazardous adhesive/sealant that prevents moisture from migrating to any adjacent untreated floor-insulating materials that are subject to rotting.</t>
  </si>
  <si>
    <t>LOT A (Item 4-G)</t>
  </si>
  <si>
    <t>Type A-2, DRW, Cutaway, 4 Rows
(Gasoline; Minimum 24 Pupils)</t>
  </si>
  <si>
    <t>Minimum four (4) rows for twenty-four (24) Pupils.</t>
  </si>
  <si>
    <t xml:space="preserve">Front radial tires size (load range letter)
</t>
  </si>
  <si>
    <t xml:space="preserve">Front radial tires capacity
</t>
  </si>
  <si>
    <t xml:space="preserve">Rear radial tires size (load range letter)
</t>
  </si>
  <si>
    <t xml:space="preserve">Rear radial tires capacity
</t>
  </si>
  <si>
    <t>Fuel Types Awarded</t>
  </si>
  <si>
    <t>Gasoline and diesel engines Base Items shall have a Thirty (30) gallon fuel capacity. LPG and CNG shall have the minimum construction and protection required by NFPA.</t>
  </si>
  <si>
    <t>Ford</t>
  </si>
  <si>
    <t>E3F</t>
  </si>
  <si>
    <t>Not Available</t>
  </si>
  <si>
    <t>Tab Name</t>
  </si>
  <si>
    <t>All Season</t>
  </si>
  <si>
    <t>800 lbs.</t>
  </si>
  <si>
    <t>TC8</t>
  </si>
  <si>
    <t>TB8</t>
  </si>
  <si>
    <t>Included in Base Item</t>
  </si>
  <si>
    <t>Electric</t>
  </si>
  <si>
    <t>Propulsion System</t>
  </si>
  <si>
    <t>Propulsion system which furnishes high-wattage electric power to the motor(s), that propels the vehicle forward or backward, and is sometimes referred to as the “main or power drive circuitry.”</t>
  </si>
  <si>
    <t>Vehicle range on full charge [miles]:</t>
  </si>
  <si>
    <t>Number of Batteries:</t>
  </si>
  <si>
    <t>Type of Batteries:</t>
  </si>
  <si>
    <t>System Design Voltage:</t>
  </si>
  <si>
    <t xml:space="preserve">The NYS DOT Approval Number for the School Bus. Only School Buses approved by NYS DOT Passenger Carrier Safety Bureau for use as 2022 and newer Models, as indicated by a NYS DOT Approval Number, shall be delivered pursuant to the Contract. </t>
  </si>
  <si>
    <t>PPI Series ID</t>
  </si>
  <si>
    <t>10/2017 PPI</t>
  </si>
  <si>
    <t>Adj. Factor</t>
  </si>
  <si>
    <t>Round to 1000th</t>
  </si>
  <si>
    <t>WPU1413</t>
  </si>
  <si>
    <t>Direct</t>
  </si>
  <si>
    <t xml:space="preserve">Heater Power Source: </t>
  </si>
  <si>
    <r>
      <t xml:space="preserve">The Contractor has been awarded the following Items, and shall offer Base Items, Optional Equipment and Additional Body Sections sold under the Contract at net prices that are equal to the applicable NYS Contract Price that is listed on the Contract Pricelist, or less.  An Authorized User may choose to add one (1) or more of the Optional Equipment from the list of Optional Equipment, and/or Additional Body Sections, associated with the Base Item (see Contract Section 3.7 </t>
    </r>
    <r>
      <rPr>
        <i/>
        <sz val="10"/>
        <rFont val="Arial"/>
        <family val="2"/>
      </rPr>
      <t>Optional Equipment and Additional Body Sections</t>
    </r>
    <r>
      <rPr>
        <sz val="10"/>
        <rFont val="Arial"/>
        <family val="2"/>
      </rPr>
      <t xml:space="preserve">). Additional Options offered by the Contractor, that are listed on the OEM or Contractor-Published Pricelist(s), may also be requested by the Authorized User (see Contract Section 3.8 </t>
    </r>
    <r>
      <rPr>
        <i/>
        <sz val="10"/>
        <rFont val="Arial"/>
        <family val="2"/>
      </rPr>
      <t>Additional Options</t>
    </r>
    <r>
      <rPr>
        <sz val="10"/>
        <rFont val="Arial"/>
        <family val="2"/>
      </rPr>
      <t xml:space="preserve">). </t>
    </r>
  </si>
  <si>
    <t>Shall be manufacturer’s high headroom body not less than 74-inches.</t>
  </si>
  <si>
    <t>High Headroom</t>
  </si>
  <si>
    <t xml:space="preserve">Rear radial tires capacity
 [_____,_____-lbs]:
</t>
  </si>
  <si>
    <t xml:space="preserve">Rear radial tires size (load range letter)
[LT_____/_____R_____._____(_____)]:
</t>
  </si>
  <si>
    <t xml:space="preserve">Front radial tires capacity
 [_____,_____-lbs]:
</t>
  </si>
  <si>
    <t xml:space="preserve">Front radial tires size (load range letter)
[LT_____/_____R_____._____(_____)]:
</t>
  </si>
  <si>
    <t>All-season tread, tubeless, radial tires having a Federal class designation S/T or STC shall be provided.  Tires shall be Michelin XDS, XDS-2, XZY3, or Compatible Equivalent. The price entered for this Optional Equipment shall be for six (6) tires.  Tires furnished on the rear wheels shall be the same size and adequate for axle's GAWR.</t>
  </si>
  <si>
    <t>ELECTRIC</t>
  </si>
  <si>
    <t xml:space="preserve">Tires (All-Season) </t>
  </si>
  <si>
    <t>Tires (Snow) for 4 tires</t>
  </si>
  <si>
    <t xml:space="preserve">Shall be entrance-door activated, electric or air-positioning type, and be provided streetside on all School Buses.  It shall be compliant with FMVSS (49 CFR 571.131).  Buses with a capacity of 45 persons or more shall have an additional and same model stop-arm at the rear streetside of the bus. </t>
  </si>
  <si>
    <t>Seat belts shall be provided for each individual seating space.  Seat belts shall meet current federal safety standards and shall be of a type approved by, and installed in accordance, with the rules and regulations established by NYS DOT in subdivision five (5) of section three-hundred eighty-three (383) of the New York State Vehicle and Traffic Laws dated July 30, 1986 and NYCRR, Title 17, Part 720, or the latest revision thereof.</t>
  </si>
  <si>
    <t>The vertical rectangular exterior driving mirrors shall be the heated defrosting type with their own switch and pilot light.  Crossview mirrors shall be provided at front corners of each bus.</t>
  </si>
  <si>
    <t>Structural, tread and riser members shall be constructed entirely of rust/corrosion-resistant steel, components and fasteners or materials of equivalent or stronger structural integrity.  Manufacturer's standard floor/stair coverings shall be used for finish surfaces.</t>
  </si>
  <si>
    <t>Stepwell (Entrance)</t>
  </si>
  <si>
    <t>Minimum 24 inch opening.</t>
  </si>
  <si>
    <t>An electrical horn(s) shall be provided that meets SAE standard J377.  An air horn shall not be an approved Compatible Equivalent.</t>
  </si>
  <si>
    <t>Automatic transmission with manufacturer's standard or optional temperature indicator at the operator's control panel.</t>
  </si>
  <si>
    <t>Antilock Brake System (ABS), and an audio &amp; visual warning system for system malfunctions.</t>
  </si>
  <si>
    <t>Brakes</t>
  </si>
  <si>
    <t>Air Dryer size, Make &amp; Model:</t>
  </si>
  <si>
    <t>Air Compressor size, Make &amp; Model:</t>
  </si>
  <si>
    <t xml:space="preserve">Chassis manufacturer's typical full air service brake system.  A liquid-cooled, engine-lubricated air compressor, that is compliant with FMVSS (49 CFR 571.121.S5.1.1.), shall be provided. The air brake system shall be equipped with an automatic drain valve on the wet tank that may be unheated, a valve that can be manually opened on each air tank, and an air dryer/ejector that may be unheated.  The system shall include a spring set parking brake.  System shall be compliant with FMVSS (49 CFR 571.121), including the latest revision thereof. All brakes shall have automatic slack adjusters. </t>
  </si>
  <si>
    <t>Forward tilting style cowl/hood assembly.</t>
  </si>
  <si>
    <t>Cowl/Hood</t>
  </si>
  <si>
    <t>The estimated delivery time for the School Bus, expressed in number of calendar days, required to make delivery after receipt of a final Purchase Order (After Receipt of Order (“ARO”))</t>
  </si>
  <si>
    <t>The dollar amount, per School Bus, that will be deducted from the Base Item NYS Contract Price, if the Authorized User elects to pick up the School Bus at the Contractor's location.</t>
  </si>
  <si>
    <t>The Model name of the Body</t>
  </si>
  <si>
    <t>The Model name of the Chassis</t>
  </si>
  <si>
    <t>NYS DOT Approval Number</t>
  </si>
  <si>
    <t>The NYS DOT Approval Number for the School Bus. Only School Buses approved by NYS DOT Passenger Carrier Safety Bureau for use as 2022 and newer Models, as indicated by a NYS DOT Approval Number, shall be delivered pursuant to the Contract.</t>
  </si>
  <si>
    <t>Attachment 1 - Summary</t>
  </si>
  <si>
    <r>
      <t xml:space="preserve">Summary of Attachment 1 - </t>
    </r>
    <r>
      <rPr>
        <i/>
        <sz val="10"/>
        <rFont val="Arial"/>
        <family val="2"/>
      </rPr>
      <t>Specifications and Pricing</t>
    </r>
    <r>
      <rPr>
        <sz val="10"/>
        <rFont val="Arial"/>
        <family val="2"/>
      </rPr>
      <t xml:space="preserve"> (this worksheet)</t>
    </r>
  </si>
  <si>
    <t>Item Availability by County
(Under this Contract)</t>
  </si>
  <si>
    <t>C (Item 1-D)</t>
  </si>
  <si>
    <t xml:space="preserve">Lot C (Item 1-D): Type C, Conventional Bus </t>
  </si>
  <si>
    <t>C (Item 2-D)</t>
  </si>
  <si>
    <t xml:space="preserve">Lot C (Item 2-D): Type C, Conventional Bus </t>
  </si>
  <si>
    <t>Minimum 46</t>
  </si>
  <si>
    <t>C (Item 2-EV)</t>
  </si>
  <si>
    <t xml:space="preserve">Lot C (Item 2-EV): Type C, Conventional Bus </t>
  </si>
  <si>
    <t>Diesel, Gasoline</t>
  </si>
  <si>
    <t>Diesel, Gasoline, LPG</t>
  </si>
  <si>
    <t>C (Item 3-D)</t>
  </si>
  <si>
    <t>Minimum 58</t>
  </si>
  <si>
    <t>C (Item 4-D)</t>
  </si>
  <si>
    <t>Lot C (Item 3-D): Type C, Conventional Bus</t>
  </si>
  <si>
    <t>Lot C (Item 4-D): Type C, Conventional Bus</t>
  </si>
  <si>
    <t>Minimum 64</t>
  </si>
  <si>
    <t>C (Item 4-EV)</t>
  </si>
  <si>
    <t>Lot C (Item 4-EV): Type C, Conventional Bus</t>
  </si>
  <si>
    <t>Webasto Scholastic</t>
  </si>
  <si>
    <t>Espar Guardian</t>
  </si>
  <si>
    <t>800 lbs</t>
  </si>
  <si>
    <t>10R22.5 (G)</t>
  </si>
  <si>
    <t>10R22.5(G)</t>
  </si>
  <si>
    <t>Gas</t>
  </si>
  <si>
    <t>IC Bus</t>
  </si>
  <si>
    <t>Sound Off 49PTA</t>
  </si>
  <si>
    <t>Specialty 2980</t>
  </si>
  <si>
    <t>1 tank, Between the frame rails and behind the rear axle</t>
  </si>
  <si>
    <t>Number and location of fuel tanks:</t>
  </si>
  <si>
    <t>Capacity [gallons/cu. ft.]:</t>
  </si>
  <si>
    <t>Diesel and gasoline engine Base Items shall have a thirty (30) gallon fuel capacity. LPG and CNG shall have the minimum construction and protection required by NFPA</t>
  </si>
  <si>
    <t>AIR, 32</t>
  </si>
  <si>
    <t>Air, 32</t>
  </si>
  <si>
    <t>Cold Cranking Amp (CCA) 
rating of each battery at 0oF</t>
  </si>
  <si>
    <t>08NBX</t>
  </si>
  <si>
    <t>Three (3) "No Maintenance" type batteries with a total capacity of 2400-CCA and a 145-minute reserve capacity. The battery cables (- and +) shall be the same size and weight and be equal to (or better than) the larger cable recommended by the School Bus manufacturer.</t>
  </si>
  <si>
    <t>Engine shall include silicone radiator and heater hoses (or equivalently rated/warranted). Diesel engine shall include cold weather starting aid.</t>
  </si>
  <si>
    <t>Engine Equipment</t>
  </si>
  <si>
    <t>Engine shall have a manufacturer's standard water cooled engine complete with accessories, as called for under classification. Engine shall develop full-rated torque and horsepower without requiring the use of premium grade fuel for any condition of operation. The Diesel engine shall develop full-rated torque and horsepower with the use of both ultra low sulfur grade diesel fuel and renewable diesel fuel.</t>
  </si>
  <si>
    <t>Double Overdrive</t>
  </si>
  <si>
    <t>10R22.5, G</t>
  </si>
  <si>
    <t>AD-9, Bendix, 04EBS</t>
  </si>
  <si>
    <t>18.7 CFM, Cummins</t>
  </si>
  <si>
    <t xml:space="preserve">Minimum twenty-eight (28) Pupils. </t>
  </si>
  <si>
    <t>A School Bus with a Body installed upon a cowl and Chassis constructed using a chassis with a hood and front fender assembly. All of the engine is in front of the windshield and the entrance door is behind the front wheels. This is also known as a conventional school bus. This type also includes the cutaway truck chassis or truck chassis with cab, with or without a left side door, and with a GVWR greater than 16,000 pounds.</t>
  </si>
  <si>
    <t>PB105</t>
  </si>
  <si>
    <t>CE</t>
  </si>
  <si>
    <t>IC BUS</t>
  </si>
  <si>
    <t>`</t>
  </si>
  <si>
    <t>1753-NY-30-00WC-ATC</t>
  </si>
  <si>
    <t>Type C, 28 Pupil Conventional Front-Engine Bus 
(Diesel, Minimum 28 Pupils)</t>
  </si>
  <si>
    <t>LOT C (Item 1-D)</t>
  </si>
  <si>
    <t xml:space="preserve">Minimum forty-six (46) Pupils. </t>
  </si>
  <si>
    <t>1825-NY-48-00WC-ATC</t>
  </si>
  <si>
    <t>Type C, 46 Pupil Conventional Front-Engine Bus 
(Diesel, Minimum 46 Pupils)</t>
  </si>
  <si>
    <t>LOT C (Item 2-D)</t>
  </si>
  <si>
    <t>Not Applicable</t>
  </si>
  <si>
    <t>Goodyear Endurance RSA</t>
  </si>
  <si>
    <t>Bendix ADIP</t>
  </si>
  <si>
    <t>Quanxing 10.6 CFM</t>
  </si>
  <si>
    <t>CE Series</t>
  </si>
  <si>
    <t>PB10E</t>
  </si>
  <si>
    <t>CE Series Electric</t>
  </si>
  <si>
    <t>Type C, 46 Pupil Conventional Front-Engine Bus 
(Electric, Minimum 46 Pupils)</t>
  </si>
  <si>
    <t>LOT C (Item 2-EV)</t>
  </si>
  <si>
    <t>Diesel and gasoline engine Base Items shall have a sixty (60) gallon fuel capacity. LPG and CNG shall have the minimum construction and protection required by NFPA</t>
  </si>
  <si>
    <t xml:space="preserve">Minimum fifty-eight (58) Pupils. </t>
  </si>
  <si>
    <t>Type C, 58 Pupil Conventional Front-Engine Bus 
(Diesel, Minimum 58 Pupils)</t>
  </si>
  <si>
    <t>LOT C (Item 3-D)</t>
  </si>
  <si>
    <t>LPG</t>
  </si>
  <si>
    <t xml:space="preserve">Minimum sixty-four (64) Pupils. </t>
  </si>
  <si>
    <t>MA055</t>
  </si>
  <si>
    <t>Type C, 64 Pupil Conventional Front-Engine Bus 
(Diesel, Minimum 64 Pupils)</t>
  </si>
  <si>
    <t>LOT C (Item 4-D)</t>
  </si>
  <si>
    <t>Qstraint QRT Omni (L)</t>
  </si>
  <si>
    <t>Type C, 64 Pupil Conventional Front-Engine Bus 
(Electric, Minimum 64 Pupils)</t>
  </si>
  <si>
    <t>LOT C (Item 4-EV)</t>
  </si>
  <si>
    <t>12ERP, Engine, Diesel Cummins B6.7 220HP</t>
  </si>
  <si>
    <t>12DLP, Engine, Gasoline (PSI 8.8L) 265HP</t>
  </si>
  <si>
    <t>180-300 Days</t>
  </si>
  <si>
    <t>CUMMINS 18.7 CFM</t>
  </si>
  <si>
    <t>BENDIX AD-9</t>
  </si>
  <si>
    <t>Hankook AH37</t>
  </si>
  <si>
    <t>13ARV, 2500 PTS</t>
  </si>
  <si>
    <t>08GXG LN AVI160P2003</t>
  </si>
  <si>
    <t>Sound Off 49NGJ</t>
  </si>
  <si>
    <t>Delete Exterior LED Lamps</t>
  </si>
  <si>
    <t>Child Check Mate EP1, 47EXC</t>
  </si>
  <si>
    <t>Electronic Stability Control with Automatic Traction control</t>
  </si>
  <si>
    <t>Hankook, DH37</t>
  </si>
  <si>
    <t>Q'Straint Omni  L Track</t>
  </si>
  <si>
    <t>Braun NL919FIB</t>
  </si>
  <si>
    <t>Specialty Hybrid ADV H1975-025-191-0F</t>
  </si>
  <si>
    <t>IC Air</t>
  </si>
  <si>
    <t>42,000 BTU</t>
  </si>
  <si>
    <t>IC 545</t>
  </si>
  <si>
    <t xml:space="preserve">2 - 60K Flush Mtd Rear , 40K dash </t>
  </si>
  <si>
    <t xml:space="preserve">2 - 60K Flush Mtd Rear, 40K dash </t>
  </si>
  <si>
    <t xml:space="preserve">Zeus Titan </t>
  </si>
  <si>
    <t>08/2022 PPI</t>
  </si>
  <si>
    <t xml:space="preserve">12PAD, PSI 8.8L LPG, 270HP </t>
  </si>
  <si>
    <t>10R22.5 (G</t>
  </si>
  <si>
    <t xml:space="preserve">Espar Guardian </t>
  </si>
  <si>
    <t>2194-NY-48-00WC-ATC</t>
  </si>
  <si>
    <t>255/70R22.5 (h)</t>
  </si>
  <si>
    <t>5510 Single</t>
  </si>
  <si>
    <t>255/70R22.5 (H)</t>
  </si>
  <si>
    <t>5070 Dual</t>
  </si>
  <si>
    <t>LFP/Lithium Ion</t>
  </si>
  <si>
    <t>608V</t>
  </si>
  <si>
    <t>O/O Air, 32 "</t>
  </si>
  <si>
    <t>Propulsion Battery System</t>
  </si>
  <si>
    <t>Included In Base Item</t>
  </si>
  <si>
    <t>2134-NY-60-00WC-ATC</t>
  </si>
  <si>
    <t xml:space="preserve"> </t>
  </si>
  <si>
    <t>1-120,000 BTU Flush mounted front and rear</t>
  </si>
  <si>
    <t>2101-NY-66-00WC-ATC</t>
  </si>
  <si>
    <t>Dana SUMO TM4 Motor/Inverter System, 335hp/255kW (peak), 255hp/190kW (continuous).</t>
  </si>
  <si>
    <t>2195-NY-66-00WC-ATC</t>
  </si>
  <si>
    <t>11R22.5 (H)</t>
  </si>
  <si>
    <t>6610 Single</t>
  </si>
  <si>
    <t>6005 Dual</t>
  </si>
  <si>
    <t>Continental HS3+</t>
  </si>
  <si>
    <t>O/O Air, 32"</t>
  </si>
  <si>
    <t>Speciality 2980</t>
  </si>
  <si>
    <t>Continental HDR2+</t>
  </si>
  <si>
    <t>Provide information on power source for air conditioning unit(s). (Propulsion Battery(ies), Auxiliary Battery(ies) or Fuel Source)</t>
  </si>
  <si>
    <t>Propulsion Batteries</t>
  </si>
  <si>
    <t>Goodyear Fuel Max RTD</t>
  </si>
  <si>
    <t>D (Item 3-EV)</t>
  </si>
  <si>
    <t>A (Item 3-EV)</t>
  </si>
  <si>
    <t>Lot A (Item 3-EV): Type A-2, DRW, Cutaway, 4 Rows</t>
  </si>
  <si>
    <t>A (Item 4-EV)</t>
  </si>
  <si>
    <t>Lot A (Item 4-EV): Type A-2, DRW, Cutaway, 4 Rows</t>
  </si>
  <si>
    <t>Minimum 20</t>
  </si>
  <si>
    <t>PC69861 Leonard Bus Sales, Inc.</t>
  </si>
  <si>
    <t>All NYS Counties.</t>
  </si>
  <si>
    <t>A (Item 4-G)</t>
  </si>
  <si>
    <t>A (Item 5-G)</t>
  </si>
  <si>
    <t>A (Item 3-G)</t>
  </si>
  <si>
    <t>A (Item 2-G)</t>
  </si>
  <si>
    <t>Minimum 16</t>
  </si>
  <si>
    <t>Minimum 30</t>
  </si>
  <si>
    <t>Lot A (Item 5-G): Type A-2, DRW, Cutaway, 5 Rows</t>
  </si>
  <si>
    <t>Lot A (Item 4-G): Type A-2, DRW, Cutaway, 4 Rows</t>
  </si>
  <si>
    <t>Lot A (Item 3-G): Type A-2, DRW, Cutaway, 4 Rows</t>
  </si>
  <si>
    <t>Lot A (Item 2-G): Type A-1, SRW, Cutaway, 4 Rows</t>
  </si>
  <si>
    <r>
      <t xml:space="preserve">All counties, </t>
    </r>
    <r>
      <rPr>
        <b/>
        <u/>
        <sz val="10"/>
        <rFont val="Arial"/>
        <family val="2"/>
      </rPr>
      <t>EXCEPT</t>
    </r>
    <r>
      <rPr>
        <sz val="10"/>
        <rFont val="Arial"/>
        <family val="2"/>
      </rPr>
      <t xml:space="preserve"> Bronx, Kings, Nassau, New York, Queens, Richmond, Suffolk, Westchester, and Rockland Counties. </t>
    </r>
    <r>
      <rPr>
        <b/>
        <sz val="10"/>
        <rFont val="Arial"/>
        <family val="2"/>
      </rPr>
      <t>For Bronx, Kings, Nassau, New York, Queens, Richmond, Suffolk, Westchester, and Rockland Counties, please see Contract PC69857, AT New York City, LLC.</t>
    </r>
  </si>
  <si>
    <t>Lot D (Item 3-EV): Type D, Forward Control Transit Style Bus</t>
  </si>
  <si>
    <t>Minimum 77</t>
  </si>
  <si>
    <t>800 LBS</t>
  </si>
  <si>
    <t>Chevrolet / 
Trans Tech</t>
  </si>
  <si>
    <t>w/O.D.</t>
  </si>
  <si>
    <t>LT245/75R16E</t>
  </si>
  <si>
    <t>ST AERO</t>
  </si>
  <si>
    <t>CG33503</t>
  </si>
  <si>
    <t>306-NY-16-00WC-TTB</t>
  </si>
  <si>
    <t>PC69861 Leonard Bus Sales Inc.</t>
  </si>
  <si>
    <t>GM / 
Trans Tech</t>
  </si>
  <si>
    <t>Ford Transit / 
Trans Tech</t>
  </si>
  <si>
    <t>OEM LV1, VORTEC 4.3L V8, 276HP &amp; 298 LB-FT TORQUE</t>
  </si>
  <si>
    <t>GM</t>
  </si>
  <si>
    <t xml:space="preserve">TRANS TECH </t>
  </si>
  <si>
    <t>AC139SSS409</t>
  </si>
  <si>
    <t>180-300</t>
  </si>
  <si>
    <t>3042 (Single)</t>
  </si>
  <si>
    <t>GM XLP</t>
  </si>
  <si>
    <t>GM YLP</t>
  </si>
  <si>
    <t>8-Speed Automatic</t>
  </si>
  <si>
    <t>GM M5U</t>
  </si>
  <si>
    <t>GM KW5</t>
  </si>
  <si>
    <t>TP3</t>
  </si>
  <si>
    <t>BIFOLD, 24X76</t>
  </si>
  <si>
    <t>SAFE FLEET, DEFENDER COMPOSITE, SC2-600-100</t>
  </si>
  <si>
    <t>SoundOff Signal E756IEB0A-FA E756IEBOR-FA</t>
  </si>
  <si>
    <t>CHILD-CHECK MATE EP2</t>
  </si>
  <si>
    <t>LIMITED SLIP; GM 680</t>
  </si>
  <si>
    <t>3,086 (SINGLE)</t>
  </si>
  <si>
    <t>02-0037</t>
  </si>
  <si>
    <t>COOPER DISCOVERER SNOW CLAW WINTER</t>
  </si>
  <si>
    <t xml:space="preserve">STANDARD FLOOR WITH WHEEL WELLS, ONE (1) WHEEL CHAIR POSTION; Q-STRAINT, QRT MAX #Q-8306-SC SLIDE &amp; CLICK </t>
  </si>
  <si>
    <t>BRAUN LIFT CENTURY-2, NCL917FIB-2</t>
  </si>
  <si>
    <t>800 LBS.</t>
  </si>
  <si>
    <t>ELECTRIC -  SAFE FLEET, DEFENDER ELECTRIC SERIES</t>
  </si>
  <si>
    <t>ELECTRIC - SAFE FLEET, DEFENDER ELECTRIC SERIES</t>
  </si>
  <si>
    <t>PRO-AIR 60K BTU-UPRIGHT</t>
  </si>
  <si>
    <t>TRANS TECH SLIDE BAR TYPE WITH BUZZER</t>
  </si>
  <si>
    <t>ZEUS TITAN</t>
  </si>
  <si>
    <t>99G - 3.5L EcoBoost V6; 310HP &amp; 400 LBS-FT. TORQUE</t>
  </si>
  <si>
    <t>298-NY-20-00WC-TTB</t>
  </si>
  <si>
    <t>Ford Transit</t>
  </si>
  <si>
    <t>350 HD</t>
  </si>
  <si>
    <t>S6P</t>
  </si>
  <si>
    <t>TRANS STAR</t>
  </si>
  <si>
    <t>TT156DSSA409</t>
  </si>
  <si>
    <t>998; 3.5L PFDi V6, 275HP &amp; 260 LBS-FT. TORQUE</t>
  </si>
  <si>
    <t>334-NY-16-00WC-TTB</t>
  </si>
  <si>
    <t>W5P</t>
  </si>
  <si>
    <t>TT156SSSA409</t>
  </si>
  <si>
    <t>235/65R/16C</t>
  </si>
  <si>
    <t>CONTINENTAL VANCONTACT</t>
  </si>
  <si>
    <t>10-Speed Automatic</t>
  </si>
  <si>
    <t>44U</t>
  </si>
  <si>
    <t>63E</t>
  </si>
  <si>
    <t>63C</t>
  </si>
  <si>
    <t>70-AH, 610 CCA</t>
  </si>
  <si>
    <t>LIMITED SLIP</t>
  </si>
  <si>
    <t>3195 (SINGLE)</t>
  </si>
  <si>
    <t>02-0050</t>
  </si>
  <si>
    <t>3195 (Single)</t>
  </si>
  <si>
    <t>TRANS TECH SLIDE BAR TYPE AND BUZZER</t>
  </si>
  <si>
    <t>Ford Transit / Trans Tech</t>
  </si>
  <si>
    <t>Ford E-Series / 
Trans Tech</t>
  </si>
  <si>
    <t>2040 (DUAL)</t>
  </si>
  <si>
    <t>LT225/75R16E</t>
  </si>
  <si>
    <t>2150 (SINGLE)</t>
  </si>
  <si>
    <t>SE138DSSA500</t>
  </si>
  <si>
    <t>SC139DSSA409</t>
  </si>
  <si>
    <t>SST</t>
  </si>
  <si>
    <t>308-NY-20-00WC-TTB</t>
  </si>
  <si>
    <t>171-NY-20-00WC-TTB</t>
  </si>
  <si>
    <t>OEM L8T 6.6L V8, 401HP &amp; 464 LB-FT TORQUE</t>
  </si>
  <si>
    <t>20C/12A</t>
  </si>
  <si>
    <t>2680 (Single)</t>
  </si>
  <si>
    <t>2470 (Dual)</t>
  </si>
  <si>
    <t>GM XHF</t>
  </si>
  <si>
    <t>GM YHF</t>
  </si>
  <si>
    <t>6-Speed Automatic</t>
  </si>
  <si>
    <t>GM MYD</t>
  </si>
  <si>
    <t>LIMTED SLIP, GM G80</t>
  </si>
  <si>
    <t>02-0042</t>
  </si>
  <si>
    <t>FIRESTONE WINTER FORCE</t>
  </si>
  <si>
    <t xml:space="preserve">PAN-FORMED FLAT FLOOR WITH L-TRACK THROUGHOUT
</t>
  </si>
  <si>
    <t>SAFE FLEET ADVANTAGE, H1975</t>
  </si>
  <si>
    <t>99N - 7.3L V8, PREMIUM RATED, 325HP &amp; 450 LB-FT TORQUE</t>
  </si>
  <si>
    <t>E-350</t>
  </si>
  <si>
    <t>LT225/75R16E BSW A/S</t>
  </si>
  <si>
    <t>FORD T68</t>
  </si>
  <si>
    <t xml:space="preserve">Hankook DynaPro HT </t>
  </si>
  <si>
    <t>Hankook DynaPro HT</t>
  </si>
  <si>
    <t>FORD 44P</t>
  </si>
  <si>
    <t>FORD 63O</t>
  </si>
  <si>
    <t>LIMITED SLIP; XF3</t>
  </si>
  <si>
    <t xml:space="preserve">STANDARD FLOOR WITH WHEEL WELLS, ONE (1) WHEEL CHAIR POSITION, Q-STRAINT, QRT MAX #Q-8306-SC SLIDE &amp; CLICK </t>
  </si>
  <si>
    <t>PAN-FORMED FLAT FLOOR WITH L-TRACK THROUGHOUT</t>
  </si>
  <si>
    <t>195/75R16C</t>
  </si>
  <si>
    <t>ALL SEASON</t>
  </si>
  <si>
    <t>2205 (DUAL)</t>
  </si>
  <si>
    <t>02-0053</t>
  </si>
  <si>
    <t>2,150 (Single)</t>
  </si>
  <si>
    <t>2,040 (Dual)</t>
  </si>
  <si>
    <t>175-NY-24-00WC-TTB</t>
  </si>
  <si>
    <t>24C/16A</t>
  </si>
  <si>
    <t>LIMITED SLIP, GM G80</t>
  </si>
  <si>
    <t>Ford E-Series / Trans Tech</t>
  </si>
  <si>
    <t>309-NY-24-00WC-TTB</t>
  </si>
  <si>
    <t>SE158DSSA600</t>
  </si>
  <si>
    <t>LIMITED SLIP, XF3</t>
  </si>
  <si>
    <t>Minimum five (5) rows for thirty (30) Pupils.</t>
  </si>
  <si>
    <t>SC159DSSA509</t>
  </si>
  <si>
    <t>CG33803</t>
  </si>
  <si>
    <t>251-NY-30-00WC-TTB</t>
  </si>
  <si>
    <t>200-NY-30-00WC-TTB</t>
  </si>
  <si>
    <t>Type A-2, DRW, Cutaway, 5 Rows
(Gasoline; Minimum 30 Pupils)</t>
  </si>
  <si>
    <t>LOT A (Item 5-G)</t>
  </si>
  <si>
    <t>GM / Trans Tech</t>
  </si>
  <si>
    <t>30C/20A</t>
  </si>
  <si>
    <t>E-450</t>
  </si>
  <si>
    <t>E4F</t>
  </si>
  <si>
    <t>180-360</t>
  </si>
  <si>
    <t>Units shall have headlights turned on when the propulsion system is on.</t>
  </si>
  <si>
    <t>310-NY-20-00WC-TTB</t>
  </si>
  <si>
    <t>Information identifying the Make and Model propulsion system offered.</t>
  </si>
  <si>
    <t>Type A-2, DRW, Cutaway, 4 Rows
(Electric; Minimum 20 Pupils)</t>
  </si>
  <si>
    <t>LOT A (Item 3-EV)</t>
  </si>
  <si>
    <t>MOTIV EPIC4</t>
  </si>
  <si>
    <t>SE158DSSA509-EVM</t>
  </si>
  <si>
    <t>240-360</t>
  </si>
  <si>
    <t>DIRECT DRIVE</t>
  </si>
  <si>
    <t>N/A</t>
  </si>
  <si>
    <t>105 MILES</t>
  </si>
  <si>
    <t xml:space="preserve">Lithium Ion </t>
  </si>
  <si>
    <t>410V</t>
  </si>
  <si>
    <t>Provide information on power source for heater unit(s). (Propulsion Battery(ies), Auxiliary Battery(ies) or Fuel Source)</t>
  </si>
  <si>
    <t>MOTIV PTC 20,500 BTU (6KW) HEATER</t>
  </si>
  <si>
    <t>ESC</t>
  </si>
  <si>
    <t>PRO-AIR 60K BTU-UPRIGHT Propulsion Battery</t>
  </si>
  <si>
    <t>Provide information on power source for heater unit. (Propulsion Battery(ies), Auxiliary Battery(ies) or Fuel Source)</t>
  </si>
  <si>
    <t xml:space="preserve">TRANS AIR </t>
  </si>
  <si>
    <t>GreenPower / GreenPower</t>
  </si>
  <si>
    <t>GreenPower 118kWh battery storage system powering a 150kW Dana TM4 electric motor.</t>
  </si>
  <si>
    <t>GreenPower Motor</t>
  </si>
  <si>
    <t>Nano BEAST</t>
  </si>
  <si>
    <t>EV Star CC</t>
  </si>
  <si>
    <t>170.25"</t>
  </si>
  <si>
    <t>295.27"</t>
  </si>
  <si>
    <t>84"</t>
  </si>
  <si>
    <t>79"</t>
  </si>
  <si>
    <t>86"</t>
  </si>
  <si>
    <t>5,000 lbs.</t>
  </si>
  <si>
    <t>9,330 lbs.</t>
  </si>
  <si>
    <t>LT 215/75R 17.5 (H)</t>
  </si>
  <si>
    <t>3,860 lbs.</t>
  </si>
  <si>
    <t>3,530 lbs.</t>
  </si>
  <si>
    <t>None</t>
  </si>
  <si>
    <t>Pirelli 127/124 M</t>
  </si>
  <si>
    <t>Lithuim Iron Phosphate</t>
  </si>
  <si>
    <t>576 Volts</t>
  </si>
  <si>
    <t>ELECTRIC OUTWARD OPENING, 34"</t>
  </si>
  <si>
    <t>First Light Safety 100947-000</t>
  </si>
  <si>
    <t>GreenPower Programmable Logic Controller</t>
  </si>
  <si>
    <t>PROPULSION BATTERIES</t>
  </si>
  <si>
    <t>ChildCheck Mate EP 2</t>
  </si>
  <si>
    <t>Traction Control</t>
  </si>
  <si>
    <t>LT 215/75R 17.5F</t>
  </si>
  <si>
    <t>TOYO M608Z</t>
  </si>
  <si>
    <t>PIRELLI 127/124 M</t>
  </si>
  <si>
    <t>Q'Straint QRT-360</t>
  </si>
  <si>
    <t>Q'Straing - L-Track Throughout</t>
  </si>
  <si>
    <t>Braun NCL919IBHB-2</t>
  </si>
  <si>
    <t>Safe Fleet model #T1975-004-111</t>
  </si>
  <si>
    <t>Gatekeeper G4-Y58 DVR, HD Based channel 120 fps Plus 2 channel ip 30fps recorder 500gb</t>
  </si>
  <si>
    <t>Type A-2, DRW, Cutaway, 4 Rows
(Electric; Minimum 24 Pupils)</t>
  </si>
  <si>
    <t>LOT A (Item 4-EV)</t>
  </si>
  <si>
    <t>Propulsion battery</t>
  </si>
  <si>
    <t xml:space="preserve">Minimum seventy-seven (77) Pupils with a maximum of eighty-four (84) Pupils. </t>
  </si>
  <si>
    <r>
      <t>A School Bus with a Body installed upon a a Chassis or unitized type construction,</t>
    </r>
    <r>
      <rPr>
        <sz val="10"/>
        <color rgb="FFFF0000"/>
        <rFont val="Arial"/>
        <family val="2"/>
      </rPr>
      <t xml:space="preserve"> </t>
    </r>
    <r>
      <rPr>
        <sz val="10"/>
        <rFont val="Arial"/>
        <family val="2"/>
      </rPr>
      <t>with a GVWR of greater than 16,000 pounds and designed to carry more than 10 persons. The entrance door is ahead of the front wheels.</t>
    </r>
  </si>
  <si>
    <t>Type D, 77 Pupil Transit Style Bus 
(Electric, Minimum 77 Pupils, Maximum 84 Pupils)</t>
  </si>
  <si>
    <t>LOT D (Item 3-EV)</t>
  </si>
  <si>
    <t>GreenPower</t>
  </si>
  <si>
    <t>GreenPower 193.56 kWh battery storage system powering the 350 kW Dana TM4 electric motor (TZ488XSPE351WH).</t>
  </si>
  <si>
    <t>BEAST</t>
  </si>
  <si>
    <t>LCK6120EVDP</t>
  </si>
  <si>
    <t>BEAST 90</t>
  </si>
  <si>
    <t>270-300 days</t>
  </si>
  <si>
    <t xml:space="preserve">42,990 lbs. </t>
  </si>
  <si>
    <t>14 rows</t>
  </si>
  <si>
    <t>84 passengers</t>
  </si>
  <si>
    <t>240.15"</t>
  </si>
  <si>
    <t>472.5"</t>
  </si>
  <si>
    <t>94"</t>
  </si>
  <si>
    <t>74"</t>
  </si>
  <si>
    <t>340"</t>
  </si>
  <si>
    <t>14,330 lbs.</t>
  </si>
  <si>
    <t>28,660 lbs.</t>
  </si>
  <si>
    <t>4kW,Naili,APMF4.0</t>
  </si>
  <si>
    <t>Wabco, 432 410 007 0</t>
  </si>
  <si>
    <t>315/80r22.5 (L)</t>
  </si>
  <si>
    <t>10,200 lbs SINGLE</t>
  </si>
  <si>
    <t>9,090 lbs DUAL</t>
  </si>
  <si>
    <t>Sumitomo ST528</t>
  </si>
  <si>
    <t>120 miles from 100%-20%, without turning heating or AC on.</t>
  </si>
  <si>
    <t>Six</t>
  </si>
  <si>
    <t>Lithium Iron Phosphate  LiFePO</t>
  </si>
  <si>
    <t>614.4V</t>
  </si>
  <si>
    <t>Electric, 34</t>
  </si>
  <si>
    <t>First Light Safety 
100947-000 
STOP ARM ASSEMBLY - FISA, ELECTRIC, FRONT</t>
  </si>
  <si>
    <t>GP PLC control</t>
  </si>
  <si>
    <t>ChildCheck Mate EP1 Plus</t>
  </si>
  <si>
    <t>8,270 lbs DUAL</t>
  </si>
  <si>
    <t>Michelin XDN2</t>
  </si>
  <si>
    <t>Q'Straint L Track</t>
  </si>
  <si>
    <t>Braun NCL1000</t>
  </si>
  <si>
    <t>1,000 lb</t>
  </si>
  <si>
    <t>Safefleet T1975-004-111</t>
  </si>
  <si>
    <t>GP PLC Control</t>
  </si>
  <si>
    <t>One mounted rooftop</t>
  </si>
  <si>
    <t>Gatekeeper G4-Y58 DVR,HD Based channel 120 fps Plus 2 channel ip 30fps recorder 500gb</t>
  </si>
  <si>
    <t xml:space="preserve">001-NY-20-00WC-GPM  </t>
  </si>
  <si>
    <t>002-NY-84-00WC-GPM</t>
  </si>
  <si>
    <t xml:space="preserve">003-NY-24-00WC-GPM </t>
  </si>
  <si>
    <t>Hide before posting</t>
  </si>
  <si>
    <t>10/2026 PPI</t>
  </si>
  <si>
    <r>
      <t>GROUP 40524-23254, SCHOOL BUSES (Statewide)                                                             Attachment 1 -</t>
    </r>
    <r>
      <rPr>
        <b/>
        <i/>
        <sz val="10"/>
        <rFont val="Arial"/>
        <family val="2"/>
      </rPr>
      <t xml:space="preserve"> Specifications and Pricing</t>
    </r>
    <r>
      <rPr>
        <b/>
        <sz val="10"/>
        <rFont val="Arial"/>
        <family val="2"/>
      </rPr>
      <t xml:space="preserve"> (Revised October 15, 2026)</t>
    </r>
  </si>
  <si>
    <r>
      <t xml:space="preserve">GROUP 40524-23254, SCHOOL BUSES (Statewide)       
Attachment 1 - </t>
    </r>
    <r>
      <rPr>
        <b/>
        <i/>
        <sz val="18"/>
        <rFont val="Arial"/>
        <family val="2"/>
      </rPr>
      <t>Specifications and Pricing</t>
    </r>
    <r>
      <rPr>
        <b/>
        <sz val="18"/>
        <rFont val="Arial"/>
        <family val="2"/>
      </rPr>
      <t xml:space="preserve"> (Revised October 15,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</si>
</sst>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quot;$&quot;#,##0.00"/>
    <numFmt numFmtId="165" formatCode="0.000"/>
    <numFmt numFmtId="166" formatCode="0.0"/>
    <numFmt numFmtId="167" formatCode="0.0000"/>
  </numFmts>
  <fonts count="25" x14ac:knownFonts="1">
    <font>
      <sz val="11"/>
      <color theme="1"/>
      <name val="Calibri"/>
      <family val="2"/>
      <scheme val="minor"/>
    </font>
    <font>
      <sz val="11"/>
      <color theme="1"/>
      <name val="Calibri"/>
      <family val="2"/>
      <scheme val="minor"/>
    </font>
    <font>
      <b/>
      <sz val="18"/>
      <name val="Arial"/>
      <family val="2"/>
    </font>
    <font>
      <b/>
      <sz val="16"/>
      <name val="Arial"/>
      <family val="2"/>
    </font>
    <font>
      <sz val="10"/>
      <name val="Arial"/>
      <family val="2"/>
    </font>
    <font>
      <b/>
      <sz val="10"/>
      <name val="Arial"/>
      <family val="2"/>
    </font>
    <font>
      <i/>
      <sz val="10"/>
      <name val="Arial"/>
      <family val="2"/>
    </font>
    <font>
      <b/>
      <sz val="12"/>
      <name val="Arial"/>
      <family val="2"/>
    </font>
    <font>
      <b/>
      <sz val="18"/>
      <color theme="0"/>
      <name val="Arial"/>
      <family val="2"/>
    </font>
    <font>
      <sz val="12"/>
      <name val="Arial"/>
      <family val="2"/>
    </font>
    <font>
      <sz val="11"/>
      <name val="Arial"/>
      <family val="2"/>
    </font>
    <font>
      <b/>
      <u/>
      <sz val="10"/>
      <name val="Arial"/>
      <family val="2"/>
    </font>
    <font>
      <sz val="14"/>
      <name val="Arial"/>
      <family val="2"/>
    </font>
    <font>
      <b/>
      <sz val="11"/>
      <name val="Arial"/>
      <family val="2"/>
    </font>
    <font>
      <b/>
      <i/>
      <sz val="10"/>
      <name val="Arial"/>
      <family val="2"/>
    </font>
    <font>
      <b/>
      <sz val="11"/>
      <color theme="3"/>
      <name val="Calibri"/>
      <family val="2"/>
      <scheme val="minor"/>
    </font>
    <font>
      <u/>
      <sz val="11"/>
      <color theme="10"/>
      <name val="Calibri"/>
      <family val="2"/>
      <scheme val="minor"/>
    </font>
    <font>
      <b/>
      <sz val="11"/>
      <name val="Calibri"/>
      <family val="2"/>
      <scheme val="minor"/>
    </font>
    <font>
      <sz val="11"/>
      <name val="Calibri"/>
      <family val="2"/>
      <scheme val="minor"/>
    </font>
    <font>
      <sz val="11"/>
      <name val="Calibri"/>
      <family val="2"/>
    </font>
    <font>
      <sz val="8"/>
      <name val="Calibri"/>
      <family val="2"/>
      <scheme val="minor"/>
    </font>
    <font>
      <sz val="10"/>
      <color rgb="FFFF0000"/>
      <name val="Arial"/>
      <family val="2"/>
    </font>
    <font>
      <b/>
      <sz val="14"/>
      <color rgb="FFFF0000"/>
      <name val="Calibri"/>
      <family val="2"/>
      <scheme val="minor"/>
    </font>
    <font>
      <sz val="10"/>
      <color theme="5" tint="0.39997558519241921"/>
      <name val="Arial"/>
      <family val="2"/>
    </font>
    <font>
      <b/>
      <i/>
      <sz val="18"/>
      <name val="Arial"/>
      <family val="2"/>
    </font>
  </fonts>
  <fills count="15">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FFFF66"/>
        <bgColor indexed="64"/>
      </patternFill>
    </fill>
    <fill>
      <patternFill patternType="solid">
        <fgColor rgb="FFD9D9D9"/>
        <bgColor indexed="64"/>
      </patternFill>
    </fill>
    <fill>
      <patternFill patternType="solid">
        <fgColor rgb="FF7030A0"/>
        <bgColor indexed="64"/>
      </patternFill>
    </fill>
    <fill>
      <patternFill patternType="solid">
        <fgColor rgb="FFCC66FF"/>
        <bgColor indexed="64"/>
      </patternFill>
    </fill>
    <fill>
      <patternFill patternType="solid">
        <fgColor theme="5" tint="0.59999389629810485"/>
        <bgColor indexed="64"/>
      </patternFill>
    </fill>
    <fill>
      <patternFill patternType="solid">
        <fgColor theme="5"/>
        <bgColor indexed="64"/>
      </patternFill>
    </fill>
    <fill>
      <patternFill patternType="solid">
        <fgColor theme="4"/>
        <bgColor indexed="64"/>
      </patternFill>
    </fill>
    <fill>
      <patternFill patternType="solid">
        <fgColor theme="5" tint="0.39997558519241921"/>
        <bgColor indexed="64"/>
      </patternFill>
    </fill>
    <fill>
      <patternFill patternType="solid">
        <fgColor theme="4" tint="0.59999389629810485"/>
        <bgColor indexed="64"/>
      </patternFill>
    </fill>
    <fill>
      <patternFill patternType="solid">
        <fgColor indexed="65"/>
        <bgColor indexed="64"/>
      </patternFill>
    </fill>
    <fill>
      <patternFill patternType="solid">
        <fgColor rgb="FFFFFF00"/>
        <bgColor indexed="64"/>
      </patternFill>
    </fill>
  </fills>
  <borders count="9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style="thin">
        <color indexed="64"/>
      </left>
      <right style="thin">
        <color indexed="64"/>
      </right>
      <top/>
      <bottom style="thick">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ck">
        <color indexed="64"/>
      </top>
      <bottom style="thick">
        <color indexed="64"/>
      </bottom>
      <diagonal/>
    </border>
    <border>
      <left/>
      <right/>
      <top style="thick">
        <color indexed="64"/>
      </top>
      <bottom style="thick">
        <color indexed="64"/>
      </bottom>
      <diagonal/>
    </border>
    <border>
      <left style="thin">
        <color indexed="64"/>
      </left>
      <right/>
      <top style="medium">
        <color indexed="64"/>
      </top>
      <bottom style="thin">
        <color indexed="64"/>
      </bottom>
      <diagonal/>
    </border>
    <border>
      <left style="thin">
        <color indexed="64"/>
      </left>
      <right/>
      <top style="thin">
        <color indexed="64"/>
      </top>
      <bottom style="thick">
        <color indexed="64"/>
      </bottom>
      <diagonal/>
    </border>
    <border>
      <left style="thin">
        <color indexed="64"/>
      </left>
      <right/>
      <top style="thick">
        <color indexed="64"/>
      </top>
      <bottom style="thin">
        <color indexed="64"/>
      </bottom>
      <diagonal/>
    </border>
    <border>
      <left style="thin">
        <color indexed="64"/>
      </left>
      <right/>
      <top style="medium">
        <color indexed="64"/>
      </top>
      <bottom style="medium">
        <color indexed="64"/>
      </bottom>
      <diagonal/>
    </border>
    <border>
      <left/>
      <right/>
      <top style="thin">
        <color indexed="64"/>
      </top>
      <bottom style="thick">
        <color indexed="64"/>
      </bottom>
      <diagonal/>
    </border>
    <border>
      <left/>
      <right/>
      <top style="thick">
        <color indexed="64"/>
      </top>
      <bottom style="thin">
        <color indexed="64"/>
      </bottom>
      <diagonal/>
    </border>
    <border>
      <left style="thin">
        <color indexed="64"/>
      </left>
      <right/>
      <top style="medium">
        <color indexed="64"/>
      </top>
      <bottom style="thick">
        <color indexed="64"/>
      </bottom>
      <diagonal/>
    </border>
    <border>
      <left/>
      <right/>
      <top style="medium">
        <color indexed="64"/>
      </top>
      <bottom style="thick">
        <color indexed="64"/>
      </bottom>
      <diagonal/>
    </border>
    <border>
      <left/>
      <right/>
      <top style="medium">
        <color indexed="64"/>
      </top>
      <bottom style="thin">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thick">
        <color indexed="64"/>
      </bottom>
      <diagonal/>
    </border>
    <border>
      <left/>
      <right style="medium">
        <color indexed="64"/>
      </right>
      <top style="thick">
        <color indexed="64"/>
      </top>
      <bottom style="thick">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thick">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thick">
        <color indexed="64"/>
      </bottom>
      <diagonal/>
    </border>
    <border>
      <left style="medium">
        <color indexed="64"/>
      </left>
      <right style="thin">
        <color indexed="64"/>
      </right>
      <top style="thick">
        <color indexed="64"/>
      </top>
      <bottom style="thick">
        <color indexed="64"/>
      </bottom>
      <diagonal/>
    </border>
    <border>
      <left style="medium">
        <color indexed="64"/>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ck">
        <color indexed="64"/>
      </bottom>
      <diagonal/>
    </border>
    <border>
      <left style="medium">
        <color indexed="64"/>
      </left>
      <right style="thin">
        <color indexed="64"/>
      </right>
      <top/>
      <bottom style="thick">
        <color indexed="64"/>
      </bottom>
      <diagonal/>
    </border>
    <border>
      <left/>
      <right style="medium">
        <color indexed="64"/>
      </right>
      <top style="thick">
        <color indexed="64"/>
      </top>
      <bottom style="thin">
        <color indexed="64"/>
      </bottom>
      <diagonal/>
    </border>
    <border>
      <left style="thin">
        <color indexed="64"/>
      </left>
      <right style="medium">
        <color indexed="64"/>
      </right>
      <top style="thick">
        <color indexed="64"/>
      </top>
      <bottom style="thick">
        <color indexed="64"/>
      </bottom>
      <diagonal/>
    </border>
    <border>
      <left style="thin">
        <color indexed="64"/>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ck">
        <color indexed="64"/>
      </bottom>
      <diagonal/>
    </border>
    <border>
      <left style="thin">
        <color indexed="64"/>
      </left>
      <right style="medium">
        <color indexed="64"/>
      </right>
      <top/>
      <bottom style="thick">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ck">
        <color indexed="64"/>
      </top>
      <bottom style="thick">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thick">
        <color indexed="64"/>
      </bottom>
      <diagonal/>
    </border>
    <border>
      <left style="medium">
        <color indexed="64"/>
      </left>
      <right style="medium">
        <color indexed="64"/>
      </right>
      <top/>
      <bottom style="thick">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bottom/>
      <diagonal/>
    </border>
    <border>
      <left/>
      <right/>
      <top/>
      <bottom style="medium">
        <color theme="4" tint="0.39997558519241921"/>
      </bottom>
      <diagonal/>
    </border>
    <border>
      <left style="thin">
        <color indexed="64"/>
      </left>
      <right style="thin">
        <color indexed="64"/>
      </right>
      <top style="thin">
        <color indexed="64"/>
      </top>
      <bottom style="thick">
        <color indexed="64"/>
      </bottom>
      <diagonal/>
    </border>
    <border>
      <left style="medium">
        <color indexed="64"/>
      </left>
      <right style="medium">
        <color indexed="64"/>
      </right>
      <top style="medium">
        <color indexed="64"/>
      </top>
      <bottom style="thick">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ck">
        <color indexed="64"/>
      </bottom>
      <diagonal/>
    </border>
    <border>
      <left style="thin">
        <color indexed="64"/>
      </left>
      <right/>
      <top style="medium">
        <color indexed="64"/>
      </top>
      <bottom/>
      <diagonal/>
    </border>
    <border>
      <left style="medium">
        <color indexed="64"/>
      </left>
      <right style="medium">
        <color indexed="64"/>
      </right>
      <top style="thin">
        <color indexed="64"/>
      </top>
      <bottom/>
      <diagonal/>
    </border>
    <border>
      <left/>
      <right style="thin">
        <color indexed="64"/>
      </right>
      <top style="medium">
        <color indexed="64"/>
      </top>
      <bottom/>
      <diagonal/>
    </border>
    <border>
      <left style="thin">
        <color indexed="64"/>
      </left>
      <right style="thin">
        <color indexed="64"/>
      </right>
      <top style="thick">
        <color indexed="64"/>
      </top>
      <bottom style="thick">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style="thick">
        <color indexed="64"/>
      </top>
      <bottom style="medium">
        <color indexed="64"/>
      </bottom>
      <diagonal/>
    </border>
  </borders>
  <cellStyleXfs count="6">
    <xf numFmtId="0" fontId="0" fillId="0" borderId="0"/>
    <xf numFmtId="44" fontId="1" fillId="0" borderId="0" applyFont="0" applyFill="0" applyBorder="0" applyAlignment="0" applyProtection="0"/>
    <xf numFmtId="0" fontId="4" fillId="0" borderId="0"/>
    <xf numFmtId="0" fontId="15" fillId="0" borderId="81" applyNumberFormat="0" applyFill="0" applyAlignment="0" applyProtection="0"/>
    <xf numFmtId="0" fontId="16" fillId="0" borderId="0" applyNumberFormat="0" applyFill="0" applyBorder="0" applyAlignment="0" applyProtection="0"/>
    <xf numFmtId="9" fontId="1" fillId="0" borderId="0" applyFont="0" applyFill="0" applyBorder="0" applyAlignment="0" applyProtection="0"/>
  </cellStyleXfs>
  <cellXfs count="379">
    <xf numFmtId="0" fontId="0" fillId="0" borderId="0" xfId="0"/>
    <xf numFmtId="0" fontId="4" fillId="0" borderId="0" xfId="1" applyNumberFormat="1" applyFont="1" applyFill="1" applyBorder="1" applyAlignment="1" applyProtection="1">
      <alignment horizontal="left" vertical="top" wrapText="1"/>
    </xf>
    <xf numFmtId="0" fontId="4" fillId="0" borderId="0" xfId="0" applyFont="1"/>
    <xf numFmtId="0" fontId="4" fillId="0" borderId="0" xfId="0" applyFont="1" applyAlignment="1">
      <alignment horizontal="left" vertical="center"/>
    </xf>
    <xf numFmtId="0" fontId="4" fillId="0" borderId="0" xfId="0" applyFont="1" applyAlignment="1">
      <alignment vertical="center"/>
    </xf>
    <xf numFmtId="0" fontId="10" fillId="0" borderId="0" xfId="0" applyFont="1" applyAlignment="1">
      <alignment vertical="center"/>
    </xf>
    <xf numFmtId="0" fontId="10" fillId="0" borderId="0" xfId="0" applyFont="1" applyAlignment="1">
      <alignment vertical="top"/>
    </xf>
    <xf numFmtId="0" fontId="4" fillId="0" borderId="0" xfId="0" applyFont="1" applyAlignment="1">
      <alignment vertical="top"/>
    </xf>
    <xf numFmtId="0" fontId="9" fillId="0" borderId="0" xfId="0" applyFont="1"/>
    <xf numFmtId="164" fontId="5" fillId="2" borderId="0" xfId="0" applyNumberFormat="1" applyFont="1" applyFill="1" applyAlignment="1">
      <alignment vertical="center" wrapText="1"/>
    </xf>
    <xf numFmtId="0" fontId="4" fillId="0" borderId="0" xfId="0" applyFont="1" applyAlignment="1">
      <alignment wrapText="1"/>
    </xf>
    <xf numFmtId="0" fontId="4" fillId="0" borderId="0" xfId="0" applyFont="1" applyAlignment="1">
      <alignment horizontal="right" wrapText="1"/>
    </xf>
    <xf numFmtId="0" fontId="9" fillId="0" borderId="0" xfId="0" applyFont="1" applyAlignment="1">
      <alignment wrapText="1"/>
    </xf>
    <xf numFmtId="0" fontId="4" fillId="0" borderId="0" xfId="0" applyFont="1" applyAlignment="1">
      <alignment horizontal="left" vertical="top" wrapText="1"/>
    </xf>
    <xf numFmtId="0" fontId="4" fillId="2" borderId="1" xfId="0" applyFont="1" applyFill="1" applyBorder="1" applyAlignment="1" applyProtection="1">
      <alignment horizontal="left" vertical="top" wrapText="1"/>
      <protection locked="0"/>
    </xf>
    <xf numFmtId="0" fontId="11" fillId="0" borderId="0" xfId="0" applyFont="1" applyAlignment="1">
      <alignment horizontal="left" vertical="top" wrapText="1"/>
    </xf>
    <xf numFmtId="0" fontId="4" fillId="2" borderId="12" xfId="2" applyFill="1" applyBorder="1" applyAlignment="1">
      <alignment horizontal="left" vertical="top" wrapText="1"/>
    </xf>
    <xf numFmtId="0" fontId="12" fillId="0" borderId="0" xfId="0" applyFont="1"/>
    <xf numFmtId="0" fontId="4" fillId="0" borderId="12" xfId="2" applyBorder="1" applyAlignment="1">
      <alignment vertical="top" wrapText="1"/>
    </xf>
    <xf numFmtId="0" fontId="9" fillId="0" borderId="0" xfId="0" applyFont="1" applyAlignment="1">
      <alignment vertical="top"/>
    </xf>
    <xf numFmtId="0" fontId="13" fillId="5" borderId="14" xfId="0" applyFont="1" applyFill="1" applyBorder="1" applyAlignment="1">
      <alignment horizontal="left" vertical="center" wrapText="1" indent="1"/>
    </xf>
    <xf numFmtId="0" fontId="13" fillId="5" borderId="12" xfId="0" applyFont="1" applyFill="1" applyBorder="1" applyAlignment="1">
      <alignment horizontal="left" vertical="center" wrapText="1" indent="1"/>
    </xf>
    <xf numFmtId="0" fontId="13" fillId="5" borderId="15" xfId="0" applyFont="1" applyFill="1" applyBorder="1" applyAlignment="1">
      <alignment horizontal="left" vertical="center" wrapText="1" indent="1"/>
    </xf>
    <xf numFmtId="0" fontId="4" fillId="2" borderId="13" xfId="2" applyFill="1" applyBorder="1" applyAlignment="1">
      <alignment horizontal="left" vertical="top" wrapText="1"/>
    </xf>
    <xf numFmtId="0" fontId="5" fillId="3" borderId="1" xfId="0" applyFont="1" applyFill="1" applyBorder="1" applyAlignment="1">
      <alignment horizontal="left" vertical="center" wrapText="1"/>
    </xf>
    <xf numFmtId="0" fontId="5" fillId="0" borderId="0" xfId="0" applyFont="1" applyAlignment="1">
      <alignment vertical="top"/>
    </xf>
    <xf numFmtId="49" fontId="5" fillId="0" borderId="0" xfId="0" applyNumberFormat="1" applyFont="1" applyAlignment="1">
      <alignment vertical="top"/>
    </xf>
    <xf numFmtId="0" fontId="5" fillId="3" borderId="31" xfId="0" applyFont="1" applyFill="1" applyBorder="1" applyAlignment="1">
      <alignment vertical="center" wrapText="1"/>
    </xf>
    <xf numFmtId="0" fontId="4" fillId="0" borderId="16" xfId="2" applyBorder="1" applyAlignment="1">
      <alignment horizontal="left" vertical="top" wrapText="1"/>
    </xf>
    <xf numFmtId="0" fontId="4" fillId="0" borderId="13" xfId="2" applyBorder="1" applyAlignment="1">
      <alignment horizontal="left" vertical="top" wrapText="1"/>
    </xf>
    <xf numFmtId="0" fontId="4" fillId="0" borderId="12" xfId="2" applyBorder="1" applyAlignment="1">
      <alignment horizontal="left" vertical="top" wrapText="1"/>
    </xf>
    <xf numFmtId="0" fontId="5" fillId="3" borderId="28" xfId="0" applyFont="1" applyFill="1" applyBorder="1" applyAlignment="1">
      <alignment horizontal="left" vertical="center" wrapText="1"/>
    </xf>
    <xf numFmtId="0" fontId="5" fillId="3" borderId="32" xfId="0" applyFont="1" applyFill="1" applyBorder="1" applyAlignment="1">
      <alignment vertical="center" wrapText="1"/>
    </xf>
    <xf numFmtId="0" fontId="5" fillId="3" borderId="6" xfId="0" applyFont="1" applyFill="1" applyBorder="1" applyAlignment="1">
      <alignment horizontal="left" vertical="center" wrapText="1"/>
    </xf>
    <xf numFmtId="0" fontId="4" fillId="0" borderId="0" xfId="0" applyFont="1" applyAlignment="1">
      <alignment horizontal="right" vertical="top" wrapText="1"/>
    </xf>
    <xf numFmtId="0" fontId="4" fillId="0" borderId="0" xfId="0" quotePrefix="1" applyFont="1" applyAlignment="1" applyProtection="1">
      <alignment horizontal="right" vertical="top" wrapText="1"/>
      <protection locked="0"/>
    </xf>
    <xf numFmtId="164" fontId="7" fillId="0" borderId="0" xfId="0" applyNumberFormat="1" applyFont="1" applyAlignment="1">
      <alignment vertical="center"/>
    </xf>
    <xf numFmtId="0" fontId="5" fillId="0" borderId="0" xfId="0" applyFont="1" applyAlignment="1">
      <alignment vertical="center" wrapText="1"/>
    </xf>
    <xf numFmtId="164" fontId="7" fillId="0" borderId="0" xfId="0" applyNumberFormat="1" applyFont="1" applyAlignment="1">
      <alignment vertical="center" wrapText="1"/>
    </xf>
    <xf numFmtId="0" fontId="5" fillId="0" borderId="0" xfId="0" applyFont="1" applyAlignment="1">
      <alignment horizontal="left" vertical="center" wrapText="1"/>
    </xf>
    <xf numFmtId="0" fontId="5" fillId="3" borderId="36" xfId="0" applyFont="1" applyFill="1" applyBorder="1" applyAlignment="1">
      <alignment vertical="center" wrapText="1"/>
    </xf>
    <xf numFmtId="0" fontId="5" fillId="3" borderId="41" xfId="0" applyFont="1" applyFill="1" applyBorder="1" applyAlignment="1">
      <alignment horizontal="left" vertical="center" wrapText="1"/>
    </xf>
    <xf numFmtId="0" fontId="5" fillId="0" borderId="42" xfId="0" applyFont="1" applyBorder="1" applyAlignment="1">
      <alignment horizontal="left" vertical="top" wrapText="1"/>
    </xf>
    <xf numFmtId="0" fontId="5" fillId="0" borderId="44" xfId="0" applyFont="1" applyBorder="1" applyAlignment="1">
      <alignment horizontal="left" vertical="top" wrapText="1"/>
    </xf>
    <xf numFmtId="0" fontId="5" fillId="0" borderId="45" xfId="0" applyFont="1" applyBorder="1" applyAlignment="1">
      <alignment horizontal="left" vertical="top" wrapText="1"/>
    </xf>
    <xf numFmtId="0" fontId="5" fillId="0" borderId="46" xfId="0" applyFont="1" applyBorder="1" applyAlignment="1">
      <alignment horizontal="left" vertical="top" wrapText="1"/>
    </xf>
    <xf numFmtId="0" fontId="5" fillId="0" borderId="55" xfId="0" applyFont="1" applyBorder="1" applyAlignment="1">
      <alignment horizontal="left" vertical="top" wrapText="1"/>
    </xf>
    <xf numFmtId="0" fontId="5" fillId="0" borderId="59" xfId="0" applyFont="1" applyBorder="1" applyAlignment="1">
      <alignment horizontal="left" vertical="top" wrapText="1"/>
    </xf>
    <xf numFmtId="0" fontId="5" fillId="3" borderId="7" xfId="0" applyFont="1" applyFill="1" applyBorder="1" applyAlignment="1">
      <alignment horizontal="left" vertical="center" wrapText="1"/>
    </xf>
    <xf numFmtId="0" fontId="4" fillId="0" borderId="64" xfId="2" applyBorder="1" applyAlignment="1">
      <alignment horizontal="left" vertical="top" wrapText="1"/>
    </xf>
    <xf numFmtId="0" fontId="4" fillId="0" borderId="14" xfId="2" applyBorder="1" applyAlignment="1">
      <alignment horizontal="left" vertical="top" wrapText="1"/>
    </xf>
    <xf numFmtId="0" fontId="4" fillId="0" borderId="65" xfId="2" applyBorder="1" applyAlignment="1">
      <alignment horizontal="left" vertical="top" wrapText="1"/>
    </xf>
    <xf numFmtId="0" fontId="5" fillId="3" borderId="63" xfId="0" applyFont="1" applyFill="1" applyBorder="1" applyAlignment="1">
      <alignment horizontal="left" vertical="center" wrapText="1"/>
    </xf>
    <xf numFmtId="0" fontId="4" fillId="2" borderId="64" xfId="2" applyFill="1" applyBorder="1" applyAlignment="1">
      <alignment horizontal="left" vertical="top" wrapText="1"/>
    </xf>
    <xf numFmtId="0" fontId="4" fillId="0" borderId="14" xfId="2" applyBorder="1" applyAlignment="1">
      <alignment vertical="top" wrapText="1"/>
    </xf>
    <xf numFmtId="0" fontId="5" fillId="3" borderId="14" xfId="0" applyFont="1" applyFill="1" applyBorder="1" applyAlignment="1">
      <alignment horizontal="left" vertical="center" wrapText="1"/>
    </xf>
    <xf numFmtId="0" fontId="5" fillId="3" borderId="12" xfId="0" applyFont="1" applyFill="1" applyBorder="1" applyAlignment="1">
      <alignment horizontal="left" vertical="center" wrapText="1"/>
    </xf>
    <xf numFmtId="2" fontId="4" fillId="0" borderId="0" xfId="0" applyNumberFormat="1" applyFont="1" applyAlignment="1">
      <alignment horizontal="left" vertical="center" wrapText="1"/>
    </xf>
    <xf numFmtId="0" fontId="5" fillId="0" borderId="0" xfId="0" applyFont="1" applyAlignment="1">
      <alignment horizontal="left" vertical="top" wrapText="1"/>
    </xf>
    <xf numFmtId="0" fontId="17" fillId="0" borderId="0" xfId="3" applyFont="1" applyBorder="1" applyAlignment="1">
      <alignment horizontal="center" vertical="top"/>
    </xf>
    <xf numFmtId="165" fontId="18" fillId="0" borderId="0" xfId="0" applyNumberFormat="1" applyFont="1" applyAlignment="1">
      <alignment horizontal="center" vertical="top"/>
    </xf>
    <xf numFmtId="0" fontId="16" fillId="0" borderId="0" xfId="4" applyBorder="1" applyAlignment="1">
      <alignment horizontal="center" vertical="top"/>
    </xf>
    <xf numFmtId="2" fontId="17" fillId="0" borderId="0" xfId="3" applyNumberFormat="1" applyFont="1" applyBorder="1" applyAlignment="1">
      <alignment horizontal="center" vertical="top" wrapText="1"/>
    </xf>
    <xf numFmtId="166" fontId="18" fillId="2" borderId="0" xfId="0" applyNumberFormat="1" applyFont="1" applyFill="1" applyAlignment="1">
      <alignment horizontal="center" vertical="top"/>
    </xf>
    <xf numFmtId="166" fontId="18" fillId="0" borderId="0" xfId="0" applyNumberFormat="1" applyFont="1" applyAlignment="1">
      <alignment horizontal="center" vertical="top"/>
    </xf>
    <xf numFmtId="0" fontId="17" fillId="0" borderId="0" xfId="3" applyFont="1" applyBorder="1" applyAlignment="1">
      <alignment horizontal="center" vertical="top" wrapText="1"/>
    </xf>
    <xf numFmtId="167" fontId="18" fillId="2" borderId="0" xfId="0" applyNumberFormat="1" applyFont="1" applyFill="1" applyAlignment="1">
      <alignment horizontal="center" vertical="top"/>
    </xf>
    <xf numFmtId="165" fontId="17" fillId="0" borderId="0" xfId="3" applyNumberFormat="1" applyFont="1" applyBorder="1" applyAlignment="1">
      <alignment horizontal="center" vertical="top" wrapText="1"/>
    </xf>
    <xf numFmtId="165" fontId="18" fillId="2" borderId="0" xfId="0" applyNumberFormat="1" applyFont="1" applyFill="1" applyAlignment="1">
      <alignment horizontal="center" vertical="top"/>
    </xf>
    <xf numFmtId="49" fontId="5" fillId="0" borderId="0" xfId="0" applyNumberFormat="1" applyFont="1" applyAlignment="1">
      <alignment horizontal="left" vertical="top"/>
    </xf>
    <xf numFmtId="0" fontId="4" fillId="0" borderId="1" xfId="0" applyFont="1" applyBorder="1" applyAlignment="1">
      <alignment horizontal="left" vertical="center" wrapText="1" indent="1"/>
    </xf>
    <xf numFmtId="44" fontId="4" fillId="0" borderId="1" xfId="1" applyFont="1" applyFill="1" applyBorder="1" applyAlignment="1">
      <alignment horizontal="left" vertical="center" indent="1"/>
    </xf>
    <xf numFmtId="0" fontId="13" fillId="5" borderId="28" xfId="0" applyFont="1" applyFill="1" applyBorder="1" applyAlignment="1">
      <alignment horizontal="left" vertical="center" wrapText="1" indent="1"/>
    </xf>
    <xf numFmtId="0" fontId="4" fillId="0" borderId="41" xfId="0" applyFont="1" applyBorder="1" applyAlignment="1">
      <alignment horizontal="left" vertical="center" wrapText="1" indent="1"/>
    </xf>
    <xf numFmtId="0" fontId="4" fillId="0" borderId="44" xfId="0" applyFont="1" applyBorder="1" applyAlignment="1">
      <alignment horizontal="left" vertical="center" wrapText="1" indent="1"/>
    </xf>
    <xf numFmtId="0" fontId="4" fillId="8" borderId="50" xfId="0" applyFont="1" applyFill="1" applyBorder="1" applyAlignment="1">
      <alignment horizontal="left" vertical="center" wrapText="1" indent="1"/>
    </xf>
    <xf numFmtId="49" fontId="4" fillId="0" borderId="1" xfId="1" applyNumberFormat="1" applyFont="1" applyFill="1" applyBorder="1" applyAlignment="1">
      <alignment horizontal="left" vertical="center" wrapText="1" indent="1"/>
    </xf>
    <xf numFmtId="0" fontId="4" fillId="9" borderId="50" xfId="0" applyFont="1" applyFill="1" applyBorder="1" applyAlignment="1">
      <alignment horizontal="left" vertical="center" wrapText="1" indent="1"/>
    </xf>
    <xf numFmtId="0" fontId="4" fillId="0" borderId="0" xfId="0" applyFont="1" applyAlignment="1">
      <alignment horizontal="right"/>
    </xf>
    <xf numFmtId="0" fontId="5" fillId="3" borderId="85" xfId="0" applyFont="1" applyFill="1" applyBorder="1" applyAlignment="1">
      <alignment vertical="center" wrapText="1"/>
    </xf>
    <xf numFmtId="0" fontId="5" fillId="3" borderId="34" xfId="0" applyFont="1" applyFill="1" applyBorder="1" applyAlignment="1">
      <alignment vertical="center" wrapText="1"/>
    </xf>
    <xf numFmtId="0" fontId="5" fillId="3" borderId="88" xfId="0" applyFont="1" applyFill="1" applyBorder="1" applyAlignment="1">
      <alignment vertical="center" wrapText="1"/>
    </xf>
    <xf numFmtId="0" fontId="5" fillId="3" borderId="65" xfId="0" applyFont="1" applyFill="1" applyBorder="1" applyAlignment="1">
      <alignment horizontal="left" vertical="center" wrapText="1"/>
    </xf>
    <xf numFmtId="0" fontId="4" fillId="0" borderId="59" xfId="0" applyFont="1" applyBorder="1" applyAlignment="1">
      <alignment horizontal="left" vertical="center" wrapText="1" indent="1"/>
    </xf>
    <xf numFmtId="0" fontId="4" fillId="0" borderId="11" xfId="0" applyFont="1" applyBorder="1" applyAlignment="1">
      <alignment horizontal="left" vertical="center" wrapText="1" indent="1"/>
    </xf>
    <xf numFmtId="44" fontId="4" fillId="0" borderId="11" xfId="1" applyFont="1" applyFill="1" applyBorder="1" applyAlignment="1">
      <alignment horizontal="left" vertical="center" indent="1"/>
    </xf>
    <xf numFmtId="0" fontId="4" fillId="7" borderId="50" xfId="0" applyFont="1" applyFill="1" applyBorder="1" applyAlignment="1">
      <alignment horizontal="left" vertical="center" wrapText="1" indent="1"/>
    </xf>
    <xf numFmtId="0" fontId="4" fillId="6" borderId="50" xfId="0" applyFont="1" applyFill="1" applyBorder="1" applyAlignment="1">
      <alignment horizontal="left" vertical="center" wrapText="1" indent="1"/>
    </xf>
    <xf numFmtId="0" fontId="4" fillId="0" borderId="93" xfId="0" applyFont="1" applyBorder="1" applyAlignment="1">
      <alignment horizontal="left" vertical="center" wrapText="1" indent="1"/>
    </xf>
    <xf numFmtId="49" fontId="4" fillId="0" borderId="11" xfId="1" applyNumberFormat="1" applyFont="1" applyFill="1" applyBorder="1" applyAlignment="1">
      <alignment horizontal="left" vertical="center" wrapText="1" indent="1"/>
    </xf>
    <xf numFmtId="164" fontId="3" fillId="0" borderId="0" xfId="0" applyNumberFormat="1" applyFont="1" applyAlignment="1">
      <alignment vertical="center" wrapText="1"/>
    </xf>
    <xf numFmtId="164" fontId="8" fillId="0" borderId="0" xfId="0" applyNumberFormat="1" applyFont="1" applyAlignment="1">
      <alignment vertical="center"/>
    </xf>
    <xf numFmtId="0" fontId="23" fillId="11" borderId="50" xfId="0" applyFont="1" applyFill="1" applyBorder="1" applyAlignment="1">
      <alignment horizontal="left" vertical="center" wrapText="1" indent="1"/>
    </xf>
    <xf numFmtId="0" fontId="4" fillId="12" borderId="60" xfId="0" applyFont="1" applyFill="1" applyBorder="1" applyAlignment="1">
      <alignment horizontal="left" vertical="center" wrapText="1" indent="1"/>
    </xf>
    <xf numFmtId="165" fontId="19" fillId="2" borderId="0" xfId="0" applyNumberFormat="1" applyFont="1" applyFill="1" applyAlignment="1">
      <alignment horizontal="center" vertical="top"/>
    </xf>
    <xf numFmtId="164" fontId="7" fillId="3" borderId="35" xfId="0" applyNumberFormat="1" applyFont="1" applyFill="1" applyBorder="1" applyAlignment="1" applyProtection="1">
      <alignment horizontal="center" vertical="center" wrapText="1"/>
      <protection hidden="1"/>
    </xf>
    <xf numFmtId="164" fontId="7" fillId="0" borderId="0" xfId="0" applyNumberFormat="1" applyFont="1" applyAlignment="1" applyProtection="1">
      <alignment vertical="center"/>
      <protection hidden="1"/>
    </xf>
    <xf numFmtId="164" fontId="5" fillId="3" borderId="35" xfId="0" applyNumberFormat="1" applyFont="1" applyFill="1" applyBorder="1" applyAlignment="1" applyProtection="1">
      <alignment horizontal="center" vertical="center" wrapText="1"/>
      <protection hidden="1"/>
    </xf>
    <xf numFmtId="0" fontId="5" fillId="0" borderId="0" xfId="0" applyFont="1" applyAlignment="1" applyProtection="1">
      <alignment vertical="center" wrapText="1"/>
      <protection hidden="1"/>
    </xf>
    <xf numFmtId="0" fontId="4" fillId="0" borderId="0" xfId="0" applyFont="1" applyAlignment="1" applyProtection="1">
      <alignment horizontal="left" vertical="top" wrapText="1"/>
      <protection hidden="1"/>
    </xf>
    <xf numFmtId="0" fontId="4" fillId="0" borderId="0" xfId="0" applyFont="1" applyAlignment="1" applyProtection="1">
      <alignment horizontal="right" wrapText="1"/>
      <protection hidden="1"/>
    </xf>
    <xf numFmtId="0" fontId="4" fillId="0" borderId="0" xfId="1" applyNumberFormat="1" applyFont="1" applyFill="1" applyBorder="1" applyAlignment="1" applyProtection="1">
      <alignment horizontal="left" vertical="top" wrapText="1"/>
      <protection hidden="1"/>
    </xf>
    <xf numFmtId="164" fontId="5" fillId="2" borderId="0" xfId="1" applyNumberFormat="1" applyFont="1" applyFill="1" applyBorder="1" applyAlignment="1" applyProtection="1">
      <alignment horizontal="right" vertical="top"/>
      <protection hidden="1"/>
    </xf>
    <xf numFmtId="164" fontId="7" fillId="0" borderId="0" xfId="0" applyNumberFormat="1" applyFont="1" applyAlignment="1" applyProtection="1">
      <alignment vertical="center" wrapText="1"/>
      <protection hidden="1"/>
    </xf>
    <xf numFmtId="0" fontId="5" fillId="0" borderId="0" xfId="0" applyFont="1" applyAlignment="1" applyProtection="1">
      <alignment horizontal="left" vertical="center" wrapText="1"/>
      <protection hidden="1"/>
    </xf>
    <xf numFmtId="0" fontId="4" fillId="0" borderId="0" xfId="0" applyFont="1" applyAlignment="1" applyProtection="1">
      <alignment horizontal="right" vertical="top" wrapText="1"/>
      <protection hidden="1"/>
    </xf>
    <xf numFmtId="0" fontId="4" fillId="0" borderId="0" xfId="0" applyFont="1" applyAlignment="1" applyProtection="1">
      <alignment horizontal="right"/>
      <protection hidden="1"/>
    </xf>
    <xf numFmtId="0" fontId="4" fillId="0" borderId="0" xfId="0" applyFont="1" applyProtection="1">
      <protection hidden="1"/>
    </xf>
    <xf numFmtId="0" fontId="4" fillId="0" borderId="0" xfId="0" applyFont="1" applyAlignment="1" applyProtection="1">
      <alignment wrapText="1"/>
      <protection hidden="1"/>
    </xf>
    <xf numFmtId="0" fontId="12" fillId="0" borderId="0" xfId="0" applyFont="1" applyProtection="1">
      <protection hidden="1"/>
    </xf>
    <xf numFmtId="0" fontId="4" fillId="0" borderId="0" xfId="0" applyFont="1" applyAlignment="1" applyProtection="1">
      <alignment horizontal="left" vertical="center"/>
      <protection hidden="1"/>
    </xf>
    <xf numFmtId="0" fontId="4" fillId="13" borderId="0" xfId="0" applyFont="1" applyFill="1" applyAlignment="1" applyProtection="1">
      <alignment horizontal="right" wrapText="1"/>
      <protection hidden="1"/>
    </xf>
    <xf numFmtId="0" fontId="4" fillId="13" borderId="0" xfId="0" applyFont="1" applyFill="1" applyAlignment="1" applyProtection="1">
      <alignment horizontal="right"/>
      <protection hidden="1"/>
    </xf>
    <xf numFmtId="164" fontId="7" fillId="3" borderId="35" xfId="0" applyNumberFormat="1" applyFont="1" applyFill="1" applyBorder="1" applyAlignment="1" applyProtection="1">
      <alignment horizontal="center" vertical="center"/>
      <protection hidden="1"/>
    </xf>
    <xf numFmtId="0" fontId="4" fillId="0" borderId="0" xfId="0" applyFont="1" applyAlignment="1" applyProtection="1">
      <alignment vertical="center"/>
      <protection hidden="1"/>
    </xf>
    <xf numFmtId="164" fontId="5" fillId="3" borderId="83" xfId="0" applyNumberFormat="1" applyFont="1" applyFill="1" applyBorder="1" applyAlignment="1" applyProtection="1">
      <alignment horizontal="center" vertical="center" wrapText="1"/>
      <protection hidden="1"/>
    </xf>
    <xf numFmtId="0" fontId="0" fillId="0" borderId="0" xfId="0" applyProtection="1">
      <protection hidden="1"/>
    </xf>
    <xf numFmtId="164" fontId="5" fillId="3" borderId="59" xfId="0" applyNumberFormat="1" applyFont="1" applyFill="1" applyBorder="1" applyAlignment="1" applyProtection="1">
      <alignment horizontal="center" vertical="center" wrapText="1"/>
      <protection hidden="1"/>
    </xf>
    <xf numFmtId="164" fontId="5" fillId="3" borderId="21" xfId="0" applyNumberFormat="1" applyFont="1" applyFill="1" applyBorder="1" applyAlignment="1" applyProtection="1">
      <alignment horizontal="center" vertical="center" wrapText="1"/>
      <protection hidden="1"/>
    </xf>
    <xf numFmtId="164" fontId="5" fillId="3" borderId="60" xfId="0" applyNumberFormat="1" applyFont="1" applyFill="1" applyBorder="1" applyAlignment="1" applyProtection="1">
      <alignment horizontal="center" vertical="center" wrapText="1"/>
      <protection hidden="1"/>
    </xf>
    <xf numFmtId="164" fontId="5" fillId="3" borderId="76" xfId="0" applyNumberFormat="1" applyFont="1" applyFill="1" applyBorder="1" applyAlignment="1" applyProtection="1">
      <alignment horizontal="center" vertical="center" wrapText="1"/>
      <protection hidden="1"/>
    </xf>
    <xf numFmtId="0" fontId="0" fillId="13" borderId="0" xfId="0" applyFill="1" applyProtection="1">
      <protection hidden="1"/>
    </xf>
    <xf numFmtId="0" fontId="22" fillId="0" borderId="0" xfId="0" applyFont="1" applyAlignment="1" applyProtection="1">
      <alignment horizontal="center" vertical="center" wrapText="1"/>
      <protection hidden="1"/>
    </xf>
    <xf numFmtId="2" fontId="4" fillId="0" borderId="0" xfId="0" applyNumberFormat="1" applyFont="1" applyAlignment="1" applyProtection="1">
      <alignment horizontal="left" vertical="center" wrapText="1"/>
      <protection hidden="1"/>
    </xf>
    <xf numFmtId="0" fontId="4" fillId="4" borderId="42" xfId="0" applyFont="1" applyFill="1" applyBorder="1" applyAlignment="1" applyProtection="1">
      <alignment horizontal="left" vertical="top" wrapText="1"/>
      <protection hidden="1"/>
    </xf>
    <xf numFmtId="0" fontId="4" fillId="4" borderId="97" xfId="0" applyFont="1" applyFill="1" applyBorder="1" applyAlignment="1" applyProtection="1">
      <alignment horizontal="left" vertical="top" wrapText="1"/>
      <protection hidden="1"/>
    </xf>
    <xf numFmtId="0" fontId="4" fillId="4" borderId="71" xfId="0" applyFont="1" applyFill="1" applyBorder="1" applyAlignment="1" applyProtection="1">
      <alignment horizontal="left" vertical="top" wrapText="1"/>
      <protection hidden="1"/>
    </xf>
    <xf numFmtId="0" fontId="4" fillId="4" borderId="70" xfId="0" applyFont="1" applyFill="1" applyBorder="1" applyAlignment="1" applyProtection="1">
      <alignment horizontal="left" vertical="top" wrapText="1"/>
      <protection hidden="1"/>
    </xf>
    <xf numFmtId="0" fontId="4" fillId="4" borderId="74" xfId="0" applyFont="1" applyFill="1" applyBorder="1" applyAlignment="1" applyProtection="1">
      <alignment horizontal="left" vertical="top" wrapText="1"/>
      <protection hidden="1"/>
    </xf>
    <xf numFmtId="0" fontId="4" fillId="4" borderId="75" xfId="0" applyFont="1" applyFill="1" applyBorder="1" applyAlignment="1" applyProtection="1">
      <alignment horizontal="left" vertical="top" wrapText="1"/>
      <protection hidden="1"/>
    </xf>
    <xf numFmtId="164" fontId="4" fillId="4" borderId="70" xfId="0" applyNumberFormat="1" applyFont="1" applyFill="1" applyBorder="1" applyAlignment="1" applyProtection="1">
      <alignment horizontal="left" vertical="top" wrapText="1"/>
      <protection hidden="1"/>
    </xf>
    <xf numFmtId="164" fontId="5" fillId="4" borderId="55" xfId="0" applyNumberFormat="1" applyFont="1" applyFill="1" applyBorder="1" applyAlignment="1" applyProtection="1">
      <alignment horizontal="right" vertical="top" wrapText="1"/>
      <protection hidden="1"/>
    </xf>
    <xf numFmtId="2" fontId="5" fillId="4" borderId="59" xfId="0" applyNumberFormat="1" applyFont="1" applyFill="1" applyBorder="1" applyAlignment="1" applyProtection="1">
      <alignment horizontal="right" vertical="top" wrapText="1"/>
      <protection hidden="1"/>
    </xf>
    <xf numFmtId="0" fontId="4" fillId="4" borderId="35" xfId="0" applyFont="1" applyFill="1" applyBorder="1" applyAlignment="1" applyProtection="1">
      <alignment horizontal="left" vertical="top" wrapText="1"/>
      <protection hidden="1"/>
    </xf>
    <xf numFmtId="0" fontId="4" fillId="4" borderId="69" xfId="0" applyFont="1" applyFill="1" applyBorder="1" applyAlignment="1" applyProtection="1">
      <alignment horizontal="left" vertical="top" wrapText="1"/>
      <protection hidden="1"/>
    </xf>
    <xf numFmtId="0" fontId="4" fillId="4" borderId="8" xfId="0" applyFont="1" applyFill="1" applyBorder="1" applyAlignment="1" applyProtection="1">
      <alignment horizontal="left" vertical="top" wrapText="1"/>
      <protection hidden="1"/>
    </xf>
    <xf numFmtId="0" fontId="4" fillId="4" borderId="73" xfId="0" applyFont="1" applyFill="1" applyBorder="1" applyAlignment="1" applyProtection="1">
      <alignment horizontal="left" vertical="top" wrapText="1"/>
      <protection hidden="1"/>
    </xf>
    <xf numFmtId="0" fontId="4" fillId="4" borderId="76" xfId="0" applyFont="1" applyFill="1" applyBorder="1" applyAlignment="1" applyProtection="1">
      <alignment horizontal="left" vertical="top" wrapText="1"/>
      <protection hidden="1"/>
    </xf>
    <xf numFmtId="164" fontId="4" fillId="4" borderId="71" xfId="0" applyNumberFormat="1" applyFont="1" applyFill="1" applyBorder="1" applyAlignment="1" applyProtection="1">
      <alignment horizontal="right" vertical="top" wrapText="1"/>
      <protection hidden="1"/>
    </xf>
    <xf numFmtId="164" fontId="4" fillId="4" borderId="70" xfId="0" applyNumberFormat="1" applyFont="1" applyFill="1" applyBorder="1" applyAlignment="1" applyProtection="1">
      <alignment horizontal="right" vertical="top" wrapText="1"/>
      <protection hidden="1"/>
    </xf>
    <xf numFmtId="164" fontId="4" fillId="4" borderId="58" xfId="0" applyNumberFormat="1" applyFont="1" applyFill="1" applyBorder="1" applyAlignment="1" applyProtection="1">
      <alignment horizontal="right" vertical="top" wrapText="1"/>
      <protection hidden="1"/>
    </xf>
    <xf numFmtId="0" fontId="4" fillId="4" borderId="69" xfId="0" applyFont="1" applyFill="1" applyBorder="1" applyAlignment="1" applyProtection="1">
      <alignment vertical="top" wrapText="1"/>
      <protection hidden="1"/>
    </xf>
    <xf numFmtId="0" fontId="4" fillId="4" borderId="58" xfId="0" applyFont="1" applyFill="1" applyBorder="1" applyAlignment="1" applyProtection="1">
      <alignment vertical="top" wrapText="1"/>
      <protection hidden="1"/>
    </xf>
    <xf numFmtId="49" fontId="5" fillId="0" borderId="0" xfId="0" applyNumberFormat="1" applyFont="1" applyAlignment="1" applyProtection="1">
      <alignment vertical="top"/>
      <protection hidden="1"/>
    </xf>
    <xf numFmtId="0" fontId="5" fillId="0" borderId="0" xfId="0" applyFont="1" applyAlignment="1" applyProtection="1">
      <alignment vertical="top"/>
      <protection hidden="1"/>
    </xf>
    <xf numFmtId="164" fontId="5" fillId="2" borderId="0" xfId="0" applyNumberFormat="1" applyFont="1" applyFill="1" applyAlignment="1" applyProtection="1">
      <alignment vertical="center" wrapText="1"/>
      <protection hidden="1"/>
    </xf>
    <xf numFmtId="0" fontId="4" fillId="4" borderId="46" xfId="0" applyFont="1" applyFill="1" applyBorder="1" applyAlignment="1" applyProtection="1">
      <alignment horizontal="left" vertical="top" wrapText="1"/>
      <protection hidden="1"/>
    </xf>
    <xf numFmtId="0" fontId="4" fillId="4" borderId="19" xfId="0" applyFont="1" applyFill="1" applyBorder="1" applyAlignment="1" applyProtection="1">
      <alignment horizontal="left" vertical="top" wrapText="1"/>
      <protection hidden="1"/>
    </xf>
    <xf numFmtId="0" fontId="4" fillId="4" borderId="52" xfId="0" applyFont="1" applyFill="1" applyBorder="1" applyAlignment="1" applyProtection="1">
      <alignment horizontal="left" vertical="top" wrapText="1"/>
      <protection hidden="1"/>
    </xf>
    <xf numFmtId="0" fontId="4" fillId="4" borderId="91" xfId="0" applyFont="1" applyFill="1" applyBorder="1" applyAlignment="1" applyProtection="1">
      <alignment horizontal="left" vertical="top" wrapText="1"/>
      <protection hidden="1"/>
    </xf>
    <xf numFmtId="0" fontId="4" fillId="4" borderId="48" xfId="0" applyFont="1" applyFill="1" applyBorder="1" applyAlignment="1" applyProtection="1">
      <alignment horizontal="left" vertical="top" wrapText="1"/>
      <protection hidden="1"/>
    </xf>
    <xf numFmtId="0" fontId="4" fillId="4" borderId="44" xfId="0" applyFont="1" applyFill="1" applyBorder="1" applyAlignment="1" applyProtection="1">
      <alignment horizontal="left" vertical="top" wrapText="1"/>
      <protection hidden="1"/>
    </xf>
    <xf numFmtId="0" fontId="4" fillId="4" borderId="1" xfId="0" applyFont="1" applyFill="1" applyBorder="1" applyAlignment="1" applyProtection="1">
      <alignment horizontal="left" vertical="top" wrapText="1"/>
      <protection hidden="1"/>
    </xf>
    <xf numFmtId="0" fontId="4" fillId="4" borderId="50" xfId="0" applyFont="1" applyFill="1" applyBorder="1" applyAlignment="1" applyProtection="1">
      <alignment horizontal="left" vertical="top" wrapText="1"/>
      <protection hidden="1"/>
    </xf>
    <xf numFmtId="0" fontId="4" fillId="4" borderId="45" xfId="0" applyFont="1" applyFill="1" applyBorder="1" applyAlignment="1" applyProtection="1">
      <alignment horizontal="left" vertical="top" wrapText="1"/>
      <protection hidden="1"/>
    </xf>
    <xf numFmtId="0" fontId="4" fillId="4" borderId="82" xfId="0" applyFont="1" applyFill="1" applyBorder="1" applyAlignment="1" applyProtection="1">
      <alignment horizontal="left" vertical="top" wrapText="1"/>
      <protection hidden="1"/>
    </xf>
    <xf numFmtId="0" fontId="4" fillId="4" borderId="51" xfId="0" applyFont="1" applyFill="1" applyBorder="1" applyAlignment="1" applyProtection="1">
      <alignment horizontal="left" vertical="top" wrapText="1"/>
      <protection hidden="1"/>
    </xf>
    <xf numFmtId="164" fontId="4" fillId="4" borderId="44" xfId="0" applyNumberFormat="1" applyFont="1" applyFill="1" applyBorder="1" applyAlignment="1" applyProtection="1">
      <alignment horizontal="left" vertical="top" wrapText="1"/>
      <protection hidden="1"/>
    </xf>
    <xf numFmtId="164" fontId="4" fillId="4" borderId="1" xfId="0" applyNumberFormat="1" applyFont="1" applyFill="1" applyBorder="1" applyAlignment="1" applyProtection="1">
      <alignment horizontal="left" vertical="top" wrapText="1"/>
      <protection hidden="1"/>
    </xf>
    <xf numFmtId="164" fontId="4" fillId="4" borderId="50" xfId="0" applyNumberFormat="1" applyFont="1" applyFill="1" applyBorder="1" applyAlignment="1" applyProtection="1">
      <alignment horizontal="left" vertical="top" wrapText="1"/>
      <protection hidden="1"/>
    </xf>
    <xf numFmtId="164" fontId="5" fillId="4" borderId="3" xfId="0" applyNumberFormat="1" applyFont="1" applyFill="1" applyBorder="1" applyAlignment="1" applyProtection="1">
      <alignment horizontal="right" vertical="top" wrapText="1"/>
      <protection hidden="1"/>
    </xf>
    <xf numFmtId="164" fontId="5" fillId="4" borderId="54" xfId="0" applyNumberFormat="1" applyFont="1" applyFill="1" applyBorder="1" applyAlignment="1" applyProtection="1">
      <alignment horizontal="right" vertical="top" wrapText="1"/>
      <protection hidden="1"/>
    </xf>
    <xf numFmtId="2" fontId="5" fillId="4" borderId="21" xfId="0" applyNumberFormat="1" applyFont="1" applyFill="1" applyBorder="1" applyAlignment="1" applyProtection="1">
      <alignment horizontal="right" vertical="top" wrapText="1"/>
      <protection hidden="1"/>
    </xf>
    <xf numFmtId="2" fontId="5" fillId="4" borderId="66" xfId="0" applyNumberFormat="1" applyFont="1" applyFill="1" applyBorder="1" applyAlignment="1" applyProtection="1">
      <alignment horizontal="right" vertical="top" wrapText="1"/>
      <protection hidden="1"/>
    </xf>
    <xf numFmtId="0" fontId="4" fillId="4" borderId="64" xfId="0" applyFont="1" applyFill="1" applyBorder="1" applyAlignment="1" applyProtection="1">
      <alignment horizontal="left" vertical="top" wrapText="1"/>
      <protection hidden="1"/>
    </xf>
    <xf numFmtId="0" fontId="4" fillId="4" borderId="13" xfId="0" applyFont="1" applyFill="1" applyBorder="1" applyAlignment="1" applyProtection="1">
      <alignment horizontal="left" vertical="top" wrapText="1"/>
      <protection hidden="1"/>
    </xf>
    <xf numFmtId="0" fontId="4" fillId="4" borderId="66" xfId="0" applyFont="1" applyFill="1" applyBorder="1" applyAlignment="1" applyProtection="1">
      <alignment horizontal="left" vertical="top" wrapText="1"/>
      <protection hidden="1"/>
    </xf>
    <xf numFmtId="0" fontId="4" fillId="4" borderId="63" xfId="0" applyFont="1" applyFill="1" applyBorder="1" applyAlignment="1" applyProtection="1">
      <alignment horizontal="left" vertical="top" wrapText="1"/>
      <protection hidden="1"/>
    </xf>
    <xf numFmtId="0" fontId="4" fillId="4" borderId="17" xfId="0" applyFont="1" applyFill="1" applyBorder="1" applyAlignment="1" applyProtection="1">
      <alignment horizontal="left" vertical="top" wrapText="1"/>
      <protection hidden="1"/>
    </xf>
    <xf numFmtId="0" fontId="4" fillId="4" borderId="53" xfId="0" applyFont="1" applyFill="1" applyBorder="1" applyAlignment="1" applyProtection="1">
      <alignment horizontal="left" vertical="top" wrapText="1"/>
      <protection hidden="1"/>
    </xf>
    <xf numFmtId="0" fontId="4" fillId="4" borderId="14" xfId="0" applyFont="1" applyFill="1" applyBorder="1" applyAlignment="1" applyProtection="1">
      <alignment horizontal="left" vertical="top" wrapText="1"/>
      <protection hidden="1"/>
    </xf>
    <xf numFmtId="0" fontId="4" fillId="4" borderId="12" xfId="0" applyFont="1" applyFill="1" applyBorder="1" applyAlignment="1" applyProtection="1">
      <alignment horizontal="left" vertical="top" wrapText="1"/>
      <protection hidden="1"/>
    </xf>
    <xf numFmtId="0" fontId="4" fillId="4" borderId="15" xfId="0" applyFont="1" applyFill="1" applyBorder="1" applyAlignment="1" applyProtection="1">
      <alignment horizontal="left" vertical="top" wrapText="1"/>
      <protection hidden="1"/>
    </xf>
    <xf numFmtId="0" fontId="4" fillId="4" borderId="43" xfId="0" applyFont="1" applyFill="1" applyBorder="1" applyAlignment="1" applyProtection="1">
      <alignment horizontal="left" vertical="top" wrapText="1"/>
      <protection hidden="1"/>
    </xf>
    <xf numFmtId="0" fontId="4" fillId="4" borderId="11" xfId="0" applyFont="1" applyFill="1" applyBorder="1" applyAlignment="1" applyProtection="1">
      <alignment horizontal="left" vertical="top" wrapText="1"/>
      <protection hidden="1"/>
    </xf>
    <xf numFmtId="0" fontId="4" fillId="4" borderId="55" xfId="0" applyFont="1" applyFill="1" applyBorder="1" applyAlignment="1" applyProtection="1">
      <alignment horizontal="left" vertical="top" wrapText="1"/>
      <protection hidden="1"/>
    </xf>
    <xf numFmtId="0" fontId="4" fillId="4" borderId="3" xfId="0" applyFont="1" applyFill="1" applyBorder="1" applyAlignment="1" applyProtection="1">
      <alignment horizontal="left" vertical="top" wrapText="1"/>
      <protection hidden="1"/>
    </xf>
    <xf numFmtId="0" fontId="4" fillId="4" borderId="54" xfId="0" applyFont="1" applyFill="1" applyBorder="1" applyAlignment="1" applyProtection="1">
      <alignment horizontal="left" vertical="top" wrapText="1"/>
      <protection hidden="1"/>
    </xf>
    <xf numFmtId="0" fontId="4" fillId="4" borderId="10" xfId="0" applyFont="1" applyFill="1" applyBorder="1" applyAlignment="1" applyProtection="1">
      <alignment horizontal="left" vertical="top" wrapText="1"/>
      <protection hidden="1"/>
    </xf>
    <xf numFmtId="0" fontId="4" fillId="4" borderId="49" xfId="0" applyFont="1" applyFill="1" applyBorder="1" applyAlignment="1" applyProtection="1">
      <alignment horizontal="left" vertical="top" wrapText="1"/>
      <protection hidden="1"/>
    </xf>
    <xf numFmtId="0" fontId="4" fillId="4" borderId="65" xfId="0" applyFont="1" applyFill="1" applyBorder="1" applyAlignment="1" applyProtection="1">
      <alignment horizontal="left" vertical="top" wrapText="1"/>
      <protection hidden="1"/>
    </xf>
    <xf numFmtId="0" fontId="4" fillId="4" borderId="67" xfId="0" applyFont="1" applyFill="1" applyBorder="1" applyAlignment="1" applyProtection="1">
      <alignment horizontal="left" vertical="top" wrapText="1"/>
      <protection hidden="1"/>
    </xf>
    <xf numFmtId="0" fontId="4" fillId="4" borderId="16" xfId="0" applyFont="1" applyFill="1" applyBorder="1" applyAlignment="1" applyProtection="1">
      <alignment horizontal="left" vertical="top" wrapText="1"/>
      <protection hidden="1"/>
    </xf>
    <xf numFmtId="164" fontId="4" fillId="4" borderId="55" xfId="0" applyNumberFormat="1" applyFont="1" applyFill="1" applyBorder="1" applyAlignment="1" applyProtection="1">
      <alignment horizontal="right" vertical="top" wrapText="1"/>
      <protection hidden="1"/>
    </xf>
    <xf numFmtId="164" fontId="4" fillId="4" borderId="3" xfId="0" applyNumberFormat="1" applyFont="1" applyFill="1" applyBorder="1" applyAlignment="1" applyProtection="1">
      <alignment horizontal="right" vertical="top" wrapText="1"/>
      <protection hidden="1"/>
    </xf>
    <xf numFmtId="164" fontId="4" fillId="4" borderId="40" xfId="0" applyNumberFormat="1" applyFont="1" applyFill="1" applyBorder="1" applyAlignment="1" applyProtection="1">
      <alignment horizontal="right" vertical="top" wrapText="1"/>
      <protection hidden="1"/>
    </xf>
    <xf numFmtId="164" fontId="4" fillId="4" borderId="44" xfId="0" applyNumberFormat="1" applyFont="1" applyFill="1" applyBorder="1" applyAlignment="1" applyProtection="1">
      <alignment horizontal="right" vertical="top" wrapText="1"/>
      <protection hidden="1"/>
    </xf>
    <xf numFmtId="164" fontId="4" fillId="4" borderId="38" xfId="0" applyNumberFormat="1" applyFont="1" applyFill="1" applyBorder="1" applyAlignment="1" applyProtection="1">
      <alignment horizontal="right" vertical="top" wrapText="1"/>
      <protection hidden="1"/>
    </xf>
    <xf numFmtId="164" fontId="4" fillId="4" borderId="1" xfId="0" applyNumberFormat="1" applyFont="1" applyFill="1" applyBorder="1" applyAlignment="1" applyProtection="1">
      <alignment horizontal="right" vertical="top" wrapText="1"/>
      <protection hidden="1"/>
    </xf>
    <xf numFmtId="164" fontId="4" fillId="4" borderId="50" xfId="0" applyNumberFormat="1" applyFont="1" applyFill="1" applyBorder="1" applyAlignment="1" applyProtection="1">
      <alignment horizontal="right" vertical="top" wrapText="1"/>
      <protection hidden="1"/>
    </xf>
    <xf numFmtId="164" fontId="4" fillId="4" borderId="92" xfId="0" applyNumberFormat="1" applyFont="1" applyFill="1" applyBorder="1" applyAlignment="1" applyProtection="1">
      <alignment horizontal="right" vertical="top" wrapText="1"/>
      <protection hidden="1"/>
    </xf>
    <xf numFmtId="164" fontId="4" fillId="4" borderId="93" xfId="0" applyNumberFormat="1" applyFont="1" applyFill="1" applyBorder="1" applyAlignment="1" applyProtection="1">
      <alignment horizontal="right" vertical="top" wrapText="1"/>
      <protection hidden="1"/>
    </xf>
    <xf numFmtId="164" fontId="4" fillId="4" borderId="94" xfId="0" applyNumberFormat="1" applyFont="1" applyFill="1" applyBorder="1" applyAlignment="1" applyProtection="1">
      <alignment horizontal="right" vertical="top" wrapText="1"/>
      <protection hidden="1"/>
    </xf>
    <xf numFmtId="164" fontId="4" fillId="4" borderId="59" xfId="0" applyNumberFormat="1" applyFont="1" applyFill="1" applyBorder="1" applyAlignment="1" applyProtection="1">
      <alignment horizontal="right" vertical="top" wrapText="1"/>
      <protection hidden="1"/>
    </xf>
    <xf numFmtId="164" fontId="4" fillId="4" borderId="11" xfId="0" applyNumberFormat="1" applyFont="1" applyFill="1" applyBorder="1" applyAlignment="1" applyProtection="1">
      <alignment horizontal="right" vertical="top" wrapText="1"/>
      <protection hidden="1"/>
    </xf>
    <xf numFmtId="164" fontId="4" fillId="4" borderId="62" xfId="0" applyNumberFormat="1" applyFont="1" applyFill="1" applyBorder="1" applyAlignment="1" applyProtection="1">
      <alignment horizontal="right" vertical="top" wrapText="1"/>
      <protection hidden="1"/>
    </xf>
    <xf numFmtId="0" fontId="4" fillId="4" borderId="5" xfId="0" applyFont="1" applyFill="1" applyBorder="1" applyAlignment="1" applyProtection="1">
      <alignment horizontal="left" vertical="top" wrapText="1"/>
      <protection hidden="1"/>
    </xf>
    <xf numFmtId="0" fontId="4" fillId="4" borderId="78" xfId="0" applyFont="1" applyFill="1" applyBorder="1" applyAlignment="1" applyProtection="1">
      <alignment horizontal="left" vertical="top" wrapText="1"/>
      <protection hidden="1"/>
    </xf>
    <xf numFmtId="0" fontId="4" fillId="4" borderId="57" xfId="0" applyFont="1" applyFill="1" applyBorder="1" applyAlignment="1" applyProtection="1">
      <alignment horizontal="left" vertical="top" wrapText="1"/>
      <protection hidden="1"/>
    </xf>
    <xf numFmtId="0" fontId="4" fillId="4" borderId="77" xfId="0" applyFont="1" applyFill="1" applyBorder="1" applyAlignment="1" applyProtection="1">
      <alignment horizontal="left" vertical="top" wrapText="1"/>
      <protection hidden="1"/>
    </xf>
    <xf numFmtId="0" fontId="4" fillId="4" borderId="56" xfId="0" applyFont="1" applyFill="1" applyBorder="1" applyAlignment="1" applyProtection="1">
      <alignment horizontal="left" vertical="top" wrapText="1"/>
      <protection hidden="1"/>
    </xf>
    <xf numFmtId="0" fontId="4" fillId="4" borderId="18" xfId="0" applyFont="1" applyFill="1" applyBorder="1" applyAlignment="1" applyProtection="1">
      <alignment horizontal="left" vertical="top" wrapText="1"/>
      <protection hidden="1"/>
    </xf>
    <xf numFmtId="0" fontId="4" fillId="4" borderId="60" xfId="0" applyFont="1" applyFill="1" applyBorder="1" applyAlignment="1" applyProtection="1">
      <alignment horizontal="left" vertical="top" wrapText="1"/>
      <protection hidden="1"/>
    </xf>
    <xf numFmtId="0" fontId="4" fillId="4" borderId="25" xfId="0" applyFont="1" applyFill="1" applyBorder="1" applyAlignment="1" applyProtection="1">
      <alignment horizontal="left" vertical="top" wrapText="1"/>
      <protection hidden="1"/>
    </xf>
    <xf numFmtId="0" fontId="4" fillId="4" borderId="79" xfId="0" applyFont="1" applyFill="1" applyBorder="1" applyAlignment="1" applyProtection="1">
      <alignment horizontal="left" vertical="top" wrapText="1"/>
      <protection hidden="1"/>
    </xf>
    <xf numFmtId="3" fontId="4" fillId="4" borderId="60" xfId="0" applyNumberFormat="1" applyFont="1" applyFill="1" applyBorder="1" applyAlignment="1" applyProtection="1">
      <alignment horizontal="left" vertical="top" wrapText="1"/>
      <protection hidden="1"/>
    </xf>
    <xf numFmtId="0" fontId="4" fillId="4" borderId="28" xfId="0" applyFont="1" applyFill="1" applyBorder="1" applyAlignment="1" applyProtection="1">
      <alignment horizontal="left" vertical="top" wrapText="1"/>
      <protection hidden="1"/>
    </xf>
    <xf numFmtId="0" fontId="4" fillId="4" borderId="72" xfId="0" applyFont="1" applyFill="1" applyBorder="1" applyAlignment="1" applyProtection="1">
      <alignment horizontal="left" vertical="top" wrapText="1"/>
      <protection hidden="1"/>
    </xf>
    <xf numFmtId="164" fontId="5" fillId="4" borderId="71" xfId="0" applyNumberFormat="1" applyFont="1" applyFill="1" applyBorder="1" applyAlignment="1" applyProtection="1">
      <alignment horizontal="right" vertical="top" wrapText="1"/>
      <protection hidden="1"/>
    </xf>
    <xf numFmtId="2" fontId="5" fillId="4" borderId="58" xfId="5" applyNumberFormat="1" applyFont="1" applyFill="1" applyBorder="1" applyAlignment="1" applyProtection="1">
      <alignment horizontal="right" vertical="top" wrapText="1"/>
      <protection hidden="1"/>
    </xf>
    <xf numFmtId="0" fontId="4" fillId="4" borderId="38" xfId="0" applyFont="1" applyFill="1" applyBorder="1" applyAlignment="1" applyProtection="1">
      <alignment horizontal="left" vertical="top" wrapText="1"/>
      <protection hidden="1"/>
    </xf>
    <xf numFmtId="0" fontId="4" fillId="4" borderId="39" xfId="0" applyFont="1" applyFill="1" applyBorder="1" applyAlignment="1" applyProtection="1">
      <alignment horizontal="left" vertical="top" wrapText="1"/>
      <protection hidden="1"/>
    </xf>
    <xf numFmtId="164" fontId="4" fillId="4" borderId="38" xfId="0" applyNumberFormat="1" applyFont="1" applyFill="1" applyBorder="1" applyAlignment="1" applyProtection="1">
      <alignment horizontal="left" vertical="top" wrapText="1"/>
      <protection hidden="1"/>
    </xf>
    <xf numFmtId="164" fontId="5" fillId="4" borderId="85" xfId="0" applyNumberFormat="1" applyFont="1" applyFill="1" applyBorder="1" applyAlignment="1" applyProtection="1">
      <alignment horizontal="right" vertical="top" wrapText="1"/>
      <protection hidden="1"/>
    </xf>
    <xf numFmtId="2" fontId="5" fillId="4" borderId="58" xfId="0" applyNumberFormat="1" applyFont="1" applyFill="1" applyBorder="1" applyAlignment="1" applyProtection="1">
      <alignment horizontal="right" vertical="top" wrapText="1"/>
      <protection hidden="1"/>
    </xf>
    <xf numFmtId="2" fontId="5" fillId="4" borderId="62" xfId="0" applyNumberFormat="1" applyFont="1" applyFill="1" applyBorder="1" applyAlignment="1" applyProtection="1">
      <alignment horizontal="right" vertical="top" wrapText="1"/>
      <protection hidden="1"/>
    </xf>
    <xf numFmtId="0" fontId="4" fillId="4" borderId="40" xfId="0" applyFont="1" applyFill="1" applyBorder="1" applyAlignment="1" applyProtection="1">
      <alignment horizontal="left" vertical="top" wrapText="1"/>
      <protection hidden="1"/>
    </xf>
    <xf numFmtId="0" fontId="4" fillId="4" borderId="9" xfId="0" applyFont="1" applyFill="1" applyBorder="1" applyAlignment="1" applyProtection="1">
      <alignment horizontal="left" vertical="top" wrapText="1"/>
      <protection hidden="1"/>
    </xf>
    <xf numFmtId="0" fontId="4" fillId="4" borderId="61" xfId="0" applyFont="1" applyFill="1" applyBorder="1" applyAlignment="1" applyProtection="1">
      <alignment horizontal="left" vertical="top" wrapText="1"/>
      <protection hidden="1"/>
    </xf>
    <xf numFmtId="0" fontId="4" fillId="4" borderId="86" xfId="0" applyFont="1" applyFill="1" applyBorder="1" applyAlignment="1" applyProtection="1">
      <alignment horizontal="left" vertical="top" wrapText="1"/>
      <protection hidden="1"/>
    </xf>
    <xf numFmtId="0" fontId="4" fillId="4" borderId="7" xfId="0" applyFont="1" applyFill="1" applyBorder="1" applyAlignment="1" applyProtection="1">
      <alignment horizontal="left" vertical="top" wrapText="1"/>
      <protection hidden="1"/>
    </xf>
    <xf numFmtId="0" fontId="4" fillId="4" borderId="58" xfId="0" applyFont="1" applyFill="1" applyBorder="1" applyAlignment="1" applyProtection="1">
      <alignment horizontal="left" vertical="top" wrapText="1"/>
      <protection hidden="1"/>
    </xf>
    <xf numFmtId="164" fontId="4" fillId="4" borderId="89" xfId="0" applyNumberFormat="1" applyFont="1" applyFill="1" applyBorder="1" applyAlignment="1" applyProtection="1">
      <alignment horizontal="right" vertical="top" wrapText="1"/>
      <protection hidden="1"/>
    </xf>
    <xf numFmtId="3" fontId="4" fillId="4" borderId="58" xfId="0" applyNumberFormat="1" applyFont="1" applyFill="1" applyBorder="1" applyAlignment="1" applyProtection="1">
      <alignment horizontal="left" vertical="top" wrapText="1"/>
      <protection hidden="1"/>
    </xf>
    <xf numFmtId="0" fontId="4" fillId="4" borderId="37" xfId="0" applyFont="1" applyFill="1" applyBorder="1" applyAlignment="1" applyProtection="1">
      <alignment horizontal="left" vertical="top" wrapText="1"/>
      <protection hidden="1"/>
    </xf>
    <xf numFmtId="0" fontId="4" fillId="4" borderId="87" xfId="0" applyFont="1" applyFill="1" applyBorder="1" applyAlignment="1" applyProtection="1">
      <alignment horizontal="left" vertical="top" wrapText="1"/>
      <protection hidden="1"/>
    </xf>
    <xf numFmtId="164" fontId="5" fillId="4" borderId="61" xfId="0" applyNumberFormat="1" applyFont="1" applyFill="1" applyBorder="1" applyAlignment="1" applyProtection="1">
      <alignment horizontal="right" vertical="top" wrapText="1"/>
      <protection hidden="1"/>
    </xf>
    <xf numFmtId="0" fontId="4" fillId="4" borderId="62" xfId="0" applyFont="1" applyFill="1" applyBorder="1" applyAlignment="1" applyProtection="1">
      <alignment horizontal="left" vertical="top" wrapText="1"/>
      <protection hidden="1"/>
    </xf>
    <xf numFmtId="0" fontId="4" fillId="4" borderId="85" xfId="0" applyFont="1" applyFill="1" applyBorder="1" applyAlignment="1" applyProtection="1">
      <alignment horizontal="left" vertical="top" wrapText="1"/>
      <protection hidden="1"/>
    </xf>
    <xf numFmtId="164" fontId="4" fillId="4" borderId="80" xfId="0" applyNumberFormat="1" applyFont="1" applyFill="1" applyBorder="1" applyAlignment="1" applyProtection="1">
      <alignment horizontal="right" vertical="top" wrapText="1"/>
      <protection hidden="1"/>
    </xf>
    <xf numFmtId="164" fontId="4" fillId="4" borderId="84" xfId="0" applyNumberFormat="1" applyFont="1" applyFill="1" applyBorder="1" applyAlignment="1" applyProtection="1">
      <alignment horizontal="right" vertical="top" wrapText="1"/>
      <protection hidden="1"/>
    </xf>
    <xf numFmtId="164" fontId="5" fillId="4" borderId="70" xfId="0" applyNumberFormat="1" applyFont="1" applyFill="1" applyBorder="1" applyAlignment="1" applyProtection="1">
      <alignment horizontal="right" vertical="top" wrapText="1"/>
      <protection hidden="1"/>
    </xf>
    <xf numFmtId="0" fontId="4" fillId="0" borderId="0" xfId="0" quotePrefix="1" applyFont="1" applyAlignment="1" applyProtection="1">
      <alignment horizontal="right" vertical="top" wrapText="1"/>
      <protection hidden="1"/>
    </xf>
    <xf numFmtId="164" fontId="4" fillId="4" borderId="69" xfId="0" applyNumberFormat="1" applyFont="1" applyFill="1" applyBorder="1" applyAlignment="1" applyProtection="1">
      <alignment horizontal="right" vertical="top" wrapText="1"/>
      <protection hidden="1"/>
    </xf>
    <xf numFmtId="164" fontId="5" fillId="4" borderId="69" xfId="0" applyNumberFormat="1" applyFont="1" applyFill="1" applyBorder="1" applyAlignment="1" applyProtection="1">
      <alignment horizontal="right" vertical="top" wrapText="1"/>
      <protection hidden="1"/>
    </xf>
    <xf numFmtId="49" fontId="5" fillId="0" borderId="0" xfId="0" applyNumberFormat="1" applyFont="1" applyAlignment="1" applyProtection="1">
      <alignment horizontal="left" vertical="top"/>
      <protection hidden="1"/>
    </xf>
    <xf numFmtId="0" fontId="4" fillId="4" borderId="8" xfId="0" applyFont="1" applyFill="1" applyBorder="1" applyAlignment="1">
      <alignment horizontal="left" vertical="top" wrapText="1"/>
    </xf>
    <xf numFmtId="0" fontId="4" fillId="4" borderId="35" xfId="0" applyFont="1" applyFill="1" applyBorder="1" applyAlignment="1">
      <alignment horizontal="left" vertical="top" wrapText="1"/>
    </xf>
    <xf numFmtId="0" fontId="4" fillId="4" borderId="69" xfId="0" applyFont="1" applyFill="1" applyBorder="1" applyAlignment="1">
      <alignment horizontal="left" vertical="top" wrapText="1"/>
    </xf>
    <xf numFmtId="0" fontId="4" fillId="4" borderId="70" xfId="0" applyFont="1" applyFill="1" applyBorder="1" applyAlignment="1">
      <alignment horizontal="left" vertical="top" wrapText="1"/>
    </xf>
    <xf numFmtId="0" fontId="4" fillId="4" borderId="61" xfId="0" applyFont="1" applyFill="1" applyBorder="1" applyAlignment="1">
      <alignment horizontal="left" vertical="top" wrapText="1"/>
    </xf>
    <xf numFmtId="0" fontId="4" fillId="4" borderId="9" xfId="0" applyFont="1" applyFill="1" applyBorder="1" applyAlignment="1">
      <alignment horizontal="left" vertical="top" wrapText="1"/>
    </xf>
    <xf numFmtId="0" fontId="4" fillId="4" borderId="7" xfId="0" applyFont="1" applyFill="1" applyBorder="1" applyAlignment="1">
      <alignment horizontal="left" vertical="top" wrapText="1"/>
    </xf>
    <xf numFmtId="0" fontId="4" fillId="4" borderId="38" xfId="0" applyFont="1" applyFill="1" applyBorder="1" applyAlignment="1">
      <alignment horizontal="left" vertical="top" wrapText="1"/>
    </xf>
    <xf numFmtId="0" fontId="4" fillId="4" borderId="73" xfId="0" applyFont="1" applyFill="1" applyBorder="1" applyAlignment="1">
      <alignment horizontal="left" vertical="top" wrapText="1"/>
    </xf>
    <xf numFmtId="0" fontId="4" fillId="4" borderId="86" xfId="0" applyFont="1" applyFill="1" applyBorder="1" applyAlignment="1">
      <alignment horizontal="left" vertical="top" wrapText="1"/>
    </xf>
    <xf numFmtId="0" fontId="4" fillId="4" borderId="71" xfId="0" applyFont="1" applyFill="1" applyBorder="1" applyAlignment="1">
      <alignment horizontal="left" vertical="top" wrapText="1"/>
    </xf>
    <xf numFmtId="0" fontId="4" fillId="4" borderId="40" xfId="0" applyFont="1" applyFill="1" applyBorder="1" applyAlignment="1">
      <alignment horizontal="left" vertical="top" wrapText="1"/>
    </xf>
    <xf numFmtId="0" fontId="4" fillId="4" borderId="76" xfId="0" applyFont="1" applyFill="1" applyBorder="1" applyAlignment="1">
      <alignment horizontal="left" vertical="top" wrapText="1"/>
    </xf>
    <xf numFmtId="0" fontId="4" fillId="4" borderId="85" xfId="0" applyFont="1" applyFill="1" applyBorder="1" applyAlignment="1">
      <alignment horizontal="left" vertical="top" wrapText="1"/>
    </xf>
    <xf numFmtId="0" fontId="4" fillId="4" borderId="58" xfId="0" applyFont="1" applyFill="1" applyBorder="1" applyAlignment="1">
      <alignment horizontal="left" vertical="top" wrapText="1"/>
    </xf>
    <xf numFmtId="3" fontId="4" fillId="4" borderId="58" xfId="0" applyNumberFormat="1" applyFont="1" applyFill="1" applyBorder="1" applyAlignment="1">
      <alignment horizontal="left" vertical="top" wrapText="1"/>
    </xf>
    <xf numFmtId="0" fontId="2" fillId="0" borderId="0" xfId="0" applyFont="1" applyAlignment="1">
      <alignment horizontal="center" vertical="center" wrapText="1"/>
    </xf>
    <xf numFmtId="0" fontId="7" fillId="0" borderId="0" xfId="0" applyFont="1" applyAlignment="1">
      <alignment horizontal="left" vertical="top" wrapText="1"/>
    </xf>
    <xf numFmtId="0" fontId="4" fillId="0" borderId="31" xfId="0" applyFont="1" applyBorder="1" applyAlignment="1">
      <alignment horizontal="left" vertical="center" wrapText="1" indent="1"/>
    </xf>
    <xf numFmtId="0" fontId="4" fillId="0" borderId="32" xfId="0" applyFont="1" applyBorder="1" applyAlignment="1">
      <alignment horizontal="left" vertical="center" wrapText="1" indent="1"/>
    </xf>
    <xf numFmtId="0" fontId="4" fillId="0" borderId="36" xfId="0" applyFont="1" applyBorder="1" applyAlignment="1">
      <alignment horizontal="left" vertical="center" wrapText="1" indent="1"/>
    </xf>
    <xf numFmtId="0" fontId="4" fillId="0" borderId="0" xfId="0" applyFont="1" applyAlignment="1">
      <alignment horizontal="left" vertical="top" wrapText="1"/>
    </xf>
    <xf numFmtId="0" fontId="4" fillId="0" borderId="2" xfId="0" applyFont="1" applyBorder="1" applyAlignment="1">
      <alignment horizontal="left" vertical="top" wrapText="1"/>
    </xf>
    <xf numFmtId="0" fontId="4" fillId="0" borderId="20" xfId="0" applyFont="1" applyBorder="1" applyAlignment="1">
      <alignment horizontal="left" vertical="top" wrapText="1"/>
    </xf>
    <xf numFmtId="0" fontId="4" fillId="0" borderId="38" xfId="0" applyFont="1" applyBorder="1" applyAlignment="1">
      <alignment horizontal="left" vertical="top" wrapText="1"/>
    </xf>
    <xf numFmtId="0" fontId="4" fillId="0" borderId="26" xfId="0" applyFont="1" applyBorder="1" applyAlignment="1">
      <alignment horizontal="left" vertical="top" wrapText="1"/>
    </xf>
    <xf numFmtId="0" fontId="4" fillId="0" borderId="29" xfId="0" applyFont="1" applyBorder="1" applyAlignment="1">
      <alignment horizontal="left" vertical="top" wrapText="1"/>
    </xf>
    <xf numFmtId="0" fontId="4" fillId="0" borderId="39" xfId="0" applyFont="1" applyBorder="1" applyAlignment="1">
      <alignment horizontal="left" vertical="top" wrapText="1"/>
    </xf>
    <xf numFmtId="0" fontId="4" fillId="0" borderId="27" xfId="0" applyFont="1" applyBorder="1" applyAlignment="1">
      <alignment horizontal="left" vertical="top" wrapText="1"/>
    </xf>
    <xf numFmtId="0" fontId="4" fillId="0" borderId="30" xfId="0" applyFont="1" applyBorder="1" applyAlignment="1">
      <alignment horizontal="left" vertical="top" wrapText="1"/>
    </xf>
    <xf numFmtId="0" fontId="4" fillId="0" borderId="47" xfId="0" applyFont="1" applyBorder="1" applyAlignment="1">
      <alignment horizontal="left" vertical="top" wrapText="1"/>
    </xf>
    <xf numFmtId="0" fontId="4" fillId="0" borderId="23" xfId="0" applyFont="1" applyBorder="1" applyAlignment="1">
      <alignment horizontal="left" vertical="top" wrapText="1"/>
    </xf>
    <xf numFmtId="0" fontId="4" fillId="0" borderId="24" xfId="0" applyFont="1" applyBorder="1" applyAlignment="1">
      <alignment horizontal="left" vertical="top" wrapText="1"/>
    </xf>
    <xf numFmtId="0" fontId="4" fillId="0" borderId="37" xfId="0" applyFont="1" applyBorder="1" applyAlignment="1">
      <alignment horizontal="left" vertical="top" wrapText="1"/>
    </xf>
    <xf numFmtId="164" fontId="2" fillId="7" borderId="5" xfId="0" applyNumberFormat="1" applyFont="1" applyFill="1" applyBorder="1" applyAlignment="1">
      <alignment horizontal="center" vertical="center"/>
    </xf>
    <xf numFmtId="164" fontId="2" fillId="7" borderId="6" xfId="0" applyNumberFormat="1" applyFont="1" applyFill="1" applyBorder="1" applyAlignment="1">
      <alignment horizontal="center" vertical="center"/>
    </xf>
    <xf numFmtId="164" fontId="2" fillId="7" borderId="7" xfId="0" applyNumberFormat="1" applyFont="1" applyFill="1" applyBorder="1" applyAlignment="1">
      <alignment horizontal="center" vertical="center"/>
    </xf>
    <xf numFmtId="164" fontId="3" fillId="3" borderId="5" xfId="0" applyNumberFormat="1" applyFont="1" applyFill="1" applyBorder="1" applyAlignment="1">
      <alignment horizontal="center" vertical="center" wrapText="1"/>
    </xf>
    <xf numFmtId="164" fontId="3" fillId="3" borderId="6" xfId="0" applyNumberFormat="1" applyFont="1" applyFill="1" applyBorder="1" applyAlignment="1">
      <alignment horizontal="center" vertical="center" wrapText="1"/>
    </xf>
    <xf numFmtId="164" fontId="3" fillId="3" borderId="7" xfId="0" applyNumberFormat="1" applyFont="1" applyFill="1" applyBorder="1" applyAlignment="1">
      <alignment horizontal="center" vertical="center" wrapText="1"/>
    </xf>
    <xf numFmtId="164" fontId="7" fillId="3" borderId="5" xfId="0" applyNumberFormat="1" applyFont="1" applyFill="1" applyBorder="1" applyAlignment="1">
      <alignment horizontal="left" vertical="center"/>
    </xf>
    <xf numFmtId="164" fontId="7" fillId="3" borderId="6" xfId="0" applyNumberFormat="1" applyFont="1" applyFill="1" applyBorder="1" applyAlignment="1">
      <alignment horizontal="left" vertical="center"/>
    </xf>
    <xf numFmtId="164" fontId="7" fillId="3" borderId="7" xfId="0" applyNumberFormat="1" applyFont="1" applyFill="1" applyBorder="1" applyAlignment="1">
      <alignment horizontal="left" vertical="center"/>
    </xf>
    <xf numFmtId="0" fontId="4" fillId="0" borderId="25" xfId="0" applyFont="1" applyBorder="1" applyAlignment="1">
      <alignment horizontal="left" vertical="top" wrapText="1"/>
    </xf>
    <xf numFmtId="0" fontId="4" fillId="0" borderId="33" xfId="0" applyFont="1" applyBorder="1" applyAlignment="1">
      <alignment horizontal="left" vertical="top" wrapText="1"/>
    </xf>
    <xf numFmtId="0" fontId="4" fillId="0" borderId="61" xfId="0" applyFont="1" applyBorder="1" applyAlignment="1">
      <alignment horizontal="left" vertical="top" wrapText="1"/>
    </xf>
    <xf numFmtId="0" fontId="4" fillId="0" borderId="18" xfId="0" applyFont="1" applyBorder="1" applyAlignment="1">
      <alignment horizontal="right" vertical="top" wrapText="1"/>
    </xf>
    <xf numFmtId="0" fontId="4" fillId="0" borderId="9" xfId="0" applyFont="1" applyBorder="1" applyAlignment="1">
      <alignment horizontal="right" vertical="top" wrapText="1"/>
    </xf>
    <xf numFmtId="0" fontId="4" fillId="0" borderId="65" xfId="2" applyBorder="1" applyAlignment="1">
      <alignment horizontal="left" vertical="top" wrapText="1"/>
    </xf>
    <xf numFmtId="0" fontId="4" fillId="0" borderId="64" xfId="2" applyBorder="1" applyAlignment="1">
      <alignment horizontal="left" vertical="top" wrapText="1"/>
    </xf>
    <xf numFmtId="0" fontId="4" fillId="0" borderId="16" xfId="2" applyBorder="1" applyAlignment="1">
      <alignment horizontal="left" vertical="top" wrapText="1"/>
    </xf>
    <xf numFmtId="0" fontId="4" fillId="0" borderId="13" xfId="2" applyBorder="1" applyAlignment="1">
      <alignment horizontal="left" vertical="top" wrapText="1"/>
    </xf>
    <xf numFmtId="0" fontId="4" fillId="0" borderId="25" xfId="0" applyFont="1" applyBorder="1" applyAlignment="1">
      <alignment horizontal="right" vertical="top" wrapText="1"/>
    </xf>
    <xf numFmtId="0" fontId="4" fillId="0" borderId="61" xfId="0" applyFont="1" applyBorder="1" applyAlignment="1">
      <alignment horizontal="right" vertical="top" wrapText="1"/>
    </xf>
    <xf numFmtId="0" fontId="4" fillId="0" borderId="21" xfId="0" applyFont="1" applyBorder="1" applyAlignment="1">
      <alignment horizontal="right" vertical="top" wrapText="1"/>
    </xf>
    <xf numFmtId="0" fontId="4" fillId="0" borderId="62" xfId="0" applyFont="1" applyBorder="1" applyAlignment="1">
      <alignment horizontal="right" vertical="top" wrapText="1"/>
    </xf>
    <xf numFmtId="0" fontId="4" fillId="0" borderId="43" xfId="2" applyBorder="1" applyAlignment="1">
      <alignment horizontal="left" vertical="top" wrapText="1"/>
    </xf>
    <xf numFmtId="0" fontId="4" fillId="0" borderId="10" xfId="2" applyBorder="1" applyAlignment="1">
      <alignment horizontal="left" vertical="top" wrapText="1"/>
    </xf>
    <xf numFmtId="0" fontId="4" fillId="0" borderId="2" xfId="0" applyFont="1" applyBorder="1" applyAlignment="1">
      <alignment horizontal="right" vertical="top" wrapText="1"/>
    </xf>
    <xf numFmtId="0" fontId="4" fillId="0" borderId="38" xfId="0" applyFont="1" applyBorder="1" applyAlignment="1">
      <alignment horizontal="right" vertical="top" wrapText="1"/>
    </xf>
    <xf numFmtId="0" fontId="4" fillId="0" borderId="4" xfId="0" applyFont="1" applyBorder="1" applyAlignment="1">
      <alignment horizontal="right" vertical="top" wrapText="1"/>
    </xf>
    <xf numFmtId="0" fontId="4" fillId="0" borderId="40" xfId="0" applyFont="1" applyBorder="1" applyAlignment="1">
      <alignment horizontal="right" vertical="top" wrapText="1"/>
    </xf>
    <xf numFmtId="0" fontId="4" fillId="0" borderId="28" xfId="0" quotePrefix="1" applyFont="1" applyBorder="1" applyAlignment="1" applyProtection="1">
      <alignment horizontal="right" vertical="top" wrapText="1"/>
      <protection locked="0"/>
    </xf>
    <xf numFmtId="0" fontId="4" fillId="0" borderId="7" xfId="0" quotePrefix="1" applyFont="1" applyBorder="1" applyAlignment="1" applyProtection="1">
      <alignment horizontal="right" vertical="top" wrapText="1"/>
      <protection locked="0"/>
    </xf>
    <xf numFmtId="0" fontId="4" fillId="2" borderId="21" xfId="1" applyNumberFormat="1" applyFont="1" applyFill="1" applyBorder="1" applyAlignment="1" applyProtection="1">
      <alignment horizontal="left" vertical="top" wrapText="1"/>
    </xf>
    <xf numFmtId="0" fontId="4" fillId="2" borderId="22" xfId="1" applyNumberFormat="1" applyFont="1" applyFill="1" applyBorder="1" applyAlignment="1" applyProtection="1">
      <alignment horizontal="left" vertical="top" wrapText="1"/>
    </xf>
    <xf numFmtId="0" fontId="4" fillId="2" borderId="62" xfId="1" applyNumberFormat="1" applyFont="1" applyFill="1" applyBorder="1" applyAlignment="1" applyProtection="1">
      <alignment horizontal="left" vertical="top" wrapText="1"/>
    </xf>
    <xf numFmtId="164" fontId="7" fillId="3" borderId="5" xfId="0" applyNumberFormat="1" applyFont="1" applyFill="1" applyBorder="1" applyAlignment="1">
      <alignment horizontal="left" vertical="center" wrapText="1"/>
    </xf>
    <xf numFmtId="164" fontId="7" fillId="3" borderId="6" xfId="0" applyNumberFormat="1" applyFont="1" applyFill="1" applyBorder="1" applyAlignment="1">
      <alignment horizontal="left" vertical="center" wrapText="1"/>
    </xf>
    <xf numFmtId="164" fontId="7" fillId="3" borderId="7" xfId="0" applyNumberFormat="1" applyFont="1" applyFill="1" applyBorder="1" applyAlignment="1">
      <alignment horizontal="left" vertical="center" wrapText="1"/>
    </xf>
    <xf numFmtId="0" fontId="5" fillId="3" borderId="28" xfId="0" applyFont="1" applyFill="1" applyBorder="1" applyAlignment="1">
      <alignment horizontal="left" vertical="center" wrapText="1"/>
    </xf>
    <xf numFmtId="0" fontId="5" fillId="3" borderId="7" xfId="0" applyFont="1" applyFill="1" applyBorder="1" applyAlignment="1">
      <alignment horizontal="left" vertical="center" wrapText="1"/>
    </xf>
    <xf numFmtId="0" fontId="4" fillId="0" borderId="14" xfId="2" applyBorder="1" applyAlignment="1">
      <alignment horizontal="left" vertical="top" wrapText="1"/>
    </xf>
    <xf numFmtId="0" fontId="4" fillId="0" borderId="12" xfId="2" applyBorder="1" applyAlignment="1">
      <alignment horizontal="left" vertical="top" wrapText="1"/>
    </xf>
    <xf numFmtId="0" fontId="4" fillId="0" borderId="28" xfId="0" applyFont="1" applyBorder="1" applyAlignment="1">
      <alignment horizontal="right" vertical="top" wrapText="1"/>
    </xf>
    <xf numFmtId="0" fontId="4" fillId="0" borderId="7" xfId="0" applyFont="1" applyBorder="1" applyAlignment="1">
      <alignment horizontal="right" vertical="top" wrapText="1"/>
    </xf>
    <xf numFmtId="0" fontId="5" fillId="3" borderId="14" xfId="0" applyFont="1" applyFill="1" applyBorder="1" applyAlignment="1">
      <alignment horizontal="left" vertical="center" wrapText="1"/>
    </xf>
    <xf numFmtId="0" fontId="5" fillId="3" borderId="12" xfId="0" applyFont="1" applyFill="1" applyBorder="1" applyAlignment="1">
      <alignment horizontal="left" vertical="center" wrapText="1"/>
    </xf>
    <xf numFmtId="0" fontId="5" fillId="3" borderId="15" xfId="0" applyFont="1" applyFill="1" applyBorder="1" applyAlignment="1">
      <alignment horizontal="left" vertical="center" wrapText="1"/>
    </xf>
    <xf numFmtId="0" fontId="4" fillId="2" borderId="55" xfId="2" applyFill="1" applyBorder="1" applyAlignment="1">
      <alignment horizontal="left" vertical="top" wrapText="1"/>
    </xf>
    <xf numFmtId="0" fontId="4" fillId="2" borderId="3" xfId="2" applyFill="1" applyBorder="1" applyAlignment="1">
      <alignment horizontal="left" vertical="top" wrapText="1"/>
    </xf>
    <xf numFmtId="0" fontId="4" fillId="2" borderId="54" xfId="2" applyFill="1" applyBorder="1" applyAlignment="1">
      <alignment horizontal="left" vertical="top" wrapText="1"/>
    </xf>
    <xf numFmtId="0" fontId="4" fillId="0" borderId="44" xfId="2" applyBorder="1" applyAlignment="1">
      <alignment horizontal="left" vertical="top" wrapText="1"/>
    </xf>
    <xf numFmtId="0" fontId="4" fillId="0" borderId="1" xfId="2" applyBorder="1" applyAlignment="1">
      <alignment horizontal="left" vertical="top" wrapText="1"/>
    </xf>
    <xf numFmtId="0" fontId="4" fillId="0" borderId="50" xfId="2" applyBorder="1" applyAlignment="1">
      <alignment horizontal="left" vertical="top" wrapText="1"/>
    </xf>
    <xf numFmtId="0" fontId="4" fillId="0" borderId="59" xfId="2" applyBorder="1" applyAlignment="1">
      <alignment horizontal="left" vertical="top" wrapText="1"/>
    </xf>
    <xf numFmtId="0" fontId="4" fillId="0" borderId="11" xfId="2" applyBorder="1" applyAlignment="1">
      <alignment horizontal="left" vertical="top" wrapText="1"/>
    </xf>
    <xf numFmtId="0" fontId="4" fillId="0" borderId="60" xfId="2" applyBorder="1" applyAlignment="1">
      <alignment horizontal="left" vertical="top" wrapText="1"/>
    </xf>
    <xf numFmtId="0" fontId="4" fillId="0" borderId="57" xfId="2" applyBorder="1" applyAlignment="1">
      <alignment horizontal="left" vertical="top" wrapText="1"/>
    </xf>
    <xf numFmtId="0" fontId="4" fillId="0" borderId="20" xfId="2" applyBorder="1" applyAlignment="1">
      <alignment horizontal="left" vertical="top" wrapText="1"/>
    </xf>
    <xf numFmtId="0" fontId="4" fillId="0" borderId="38" xfId="2" applyBorder="1" applyAlignment="1">
      <alignment horizontal="left" vertical="top" wrapText="1"/>
    </xf>
    <xf numFmtId="0" fontId="5" fillId="3" borderId="17" xfId="0" applyFont="1" applyFill="1" applyBorder="1" applyAlignment="1">
      <alignment horizontal="left" vertical="center" wrapText="1"/>
    </xf>
    <xf numFmtId="0" fontId="5" fillId="3" borderId="53" xfId="0" applyFont="1" applyFill="1" applyBorder="1" applyAlignment="1">
      <alignment horizontal="left" vertical="center" wrapText="1"/>
    </xf>
    <xf numFmtId="0" fontId="4" fillId="0" borderId="18" xfId="0" quotePrefix="1" applyFont="1" applyBorder="1" applyAlignment="1" applyProtection="1">
      <alignment horizontal="right" vertical="top" wrapText="1"/>
      <protection locked="0"/>
    </xf>
    <xf numFmtId="0" fontId="4" fillId="0" borderId="9" xfId="0" quotePrefix="1" applyFont="1" applyBorder="1" applyAlignment="1" applyProtection="1">
      <alignment horizontal="right" vertical="top" wrapText="1"/>
      <protection locked="0"/>
    </xf>
    <xf numFmtId="164" fontId="8" fillId="6" borderId="5" xfId="0" applyNumberFormat="1" applyFont="1" applyFill="1" applyBorder="1" applyAlignment="1">
      <alignment horizontal="center" vertical="center"/>
    </xf>
    <xf numFmtId="164" fontId="8" fillId="6" borderId="6" xfId="0" applyNumberFormat="1" applyFont="1" applyFill="1" applyBorder="1" applyAlignment="1">
      <alignment horizontal="center" vertical="center"/>
    </xf>
    <xf numFmtId="164" fontId="8" fillId="6" borderId="7" xfId="0" applyNumberFormat="1"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6" xfId="0" applyFont="1" applyFill="1" applyBorder="1" applyAlignment="1">
      <alignment horizontal="left" vertical="center" wrapText="1"/>
    </xf>
    <xf numFmtId="0" fontId="4" fillId="2" borderId="78" xfId="2" applyFill="1" applyBorder="1" applyAlignment="1">
      <alignment horizontal="left" vertical="top" wrapText="1"/>
    </xf>
    <xf numFmtId="0" fontId="4" fillId="2" borderId="33" xfId="2" applyFill="1" applyBorder="1" applyAlignment="1">
      <alignment horizontal="left" vertical="top" wrapText="1"/>
    </xf>
    <xf numFmtId="0" fontId="4" fillId="2" borderId="61" xfId="2" applyFill="1" applyBorder="1" applyAlignment="1">
      <alignment horizontal="left" vertical="top" wrapText="1"/>
    </xf>
    <xf numFmtId="0" fontId="4" fillId="2" borderId="57" xfId="2" applyFill="1" applyBorder="1" applyAlignment="1">
      <alignment horizontal="left" vertical="top" wrapText="1"/>
    </xf>
    <xf numFmtId="0" fontId="4" fillId="2" borderId="20" xfId="2" applyFill="1" applyBorder="1" applyAlignment="1">
      <alignment horizontal="left" vertical="top" wrapText="1"/>
    </xf>
    <xf numFmtId="0" fontId="4" fillId="2" borderId="38" xfId="2" applyFill="1" applyBorder="1" applyAlignment="1">
      <alignment horizontal="left" vertical="top" wrapText="1"/>
    </xf>
    <xf numFmtId="0" fontId="4" fillId="0" borderId="79" xfId="2" applyBorder="1" applyAlignment="1">
      <alignment horizontal="left" vertical="top" wrapText="1"/>
    </xf>
    <xf numFmtId="0" fontId="4" fillId="0" borderId="22" xfId="2" applyBorder="1" applyAlignment="1">
      <alignment horizontal="left" vertical="top" wrapText="1"/>
    </xf>
    <xf numFmtId="0" fontId="4" fillId="0" borderId="62" xfId="2" applyBorder="1" applyAlignment="1">
      <alignment horizontal="left" vertical="top" wrapText="1"/>
    </xf>
    <xf numFmtId="164" fontId="2" fillId="8" borderId="5" xfId="0" applyNumberFormat="1" applyFont="1" applyFill="1" applyBorder="1" applyAlignment="1">
      <alignment horizontal="center" vertical="center"/>
    </xf>
    <xf numFmtId="164" fontId="2" fillId="8" borderId="6" xfId="0" applyNumberFormat="1" applyFont="1" applyFill="1" applyBorder="1" applyAlignment="1">
      <alignment horizontal="center" vertical="center"/>
    </xf>
    <xf numFmtId="164" fontId="2" fillId="8" borderId="7" xfId="0" applyNumberFormat="1" applyFont="1" applyFill="1" applyBorder="1" applyAlignment="1">
      <alignment horizontal="center" vertical="center"/>
    </xf>
    <xf numFmtId="0" fontId="4" fillId="2" borderId="16" xfId="2" applyFill="1" applyBorder="1" applyAlignment="1">
      <alignment horizontal="left" vertical="top" wrapText="1"/>
    </xf>
    <xf numFmtId="0" fontId="4" fillId="2" borderId="13" xfId="2" applyFill="1" applyBorder="1" applyAlignment="1">
      <alignment horizontal="left" vertical="top" wrapText="1"/>
    </xf>
    <xf numFmtId="0" fontId="4" fillId="0" borderId="25" xfId="0" quotePrefix="1" applyFont="1" applyBorder="1" applyAlignment="1">
      <alignment horizontal="right" vertical="top" wrapText="1"/>
    </xf>
    <xf numFmtId="0" fontId="4" fillId="0" borderId="18" xfId="0" quotePrefix="1" applyFont="1" applyBorder="1" applyAlignment="1">
      <alignment horizontal="right" vertical="top" wrapText="1"/>
    </xf>
    <xf numFmtId="164" fontId="8" fillId="9" borderId="5" xfId="0" applyNumberFormat="1" applyFont="1" applyFill="1" applyBorder="1" applyAlignment="1">
      <alignment horizontal="center" vertical="center"/>
    </xf>
    <xf numFmtId="164" fontId="8" fillId="9" borderId="6" xfId="0" applyNumberFormat="1" applyFont="1" applyFill="1" applyBorder="1" applyAlignment="1">
      <alignment horizontal="center" vertical="center"/>
    </xf>
    <xf numFmtId="164" fontId="8" fillId="9" borderId="7" xfId="0" applyNumberFormat="1" applyFont="1" applyFill="1" applyBorder="1" applyAlignment="1">
      <alignment horizontal="center" vertical="center"/>
    </xf>
    <xf numFmtId="0" fontId="4" fillId="0" borderId="21" xfId="0" quotePrefix="1" applyFont="1" applyBorder="1" applyAlignment="1" applyProtection="1">
      <alignment horizontal="right" vertical="top" wrapText="1"/>
      <protection locked="0"/>
    </xf>
    <xf numFmtId="0" fontId="4" fillId="0" borderId="62" xfId="0" quotePrefix="1" applyFont="1" applyBorder="1" applyAlignment="1" applyProtection="1">
      <alignment horizontal="right" vertical="top" wrapText="1"/>
      <protection locked="0"/>
    </xf>
    <xf numFmtId="0" fontId="4" fillId="0" borderId="95" xfId="0" applyFont="1" applyBorder="1" applyAlignment="1">
      <alignment horizontal="right" vertical="top" wrapText="1"/>
    </xf>
    <xf numFmtId="0" fontId="4" fillId="0" borderId="96" xfId="0" applyFont="1" applyBorder="1" applyAlignment="1">
      <alignment horizontal="right" vertical="top" wrapText="1"/>
    </xf>
    <xf numFmtId="164" fontId="3" fillId="3" borderId="6" xfId="0" applyNumberFormat="1" applyFont="1" applyFill="1" applyBorder="1" applyAlignment="1">
      <alignment horizontal="center" vertical="center"/>
    </xf>
    <xf numFmtId="164" fontId="3" fillId="3" borderId="7" xfId="0" applyNumberFormat="1" applyFont="1" applyFill="1" applyBorder="1" applyAlignment="1">
      <alignment horizontal="center" vertical="center"/>
    </xf>
    <xf numFmtId="164" fontId="2" fillId="9" borderId="5" xfId="0" applyNumberFormat="1" applyFont="1" applyFill="1" applyBorder="1" applyAlignment="1">
      <alignment horizontal="center" vertical="center"/>
    </xf>
    <xf numFmtId="164" fontId="2" fillId="9" borderId="6" xfId="0" applyNumberFormat="1" applyFont="1" applyFill="1" applyBorder="1" applyAlignment="1">
      <alignment horizontal="center" vertical="center"/>
    </xf>
    <xf numFmtId="164" fontId="2" fillId="9" borderId="7" xfId="0" applyNumberFormat="1" applyFont="1" applyFill="1" applyBorder="1" applyAlignment="1">
      <alignment horizontal="center" vertical="center"/>
    </xf>
    <xf numFmtId="0" fontId="4" fillId="0" borderId="90" xfId="2" applyBorder="1" applyAlignment="1">
      <alignment horizontal="left" vertical="top" wrapText="1"/>
    </xf>
    <xf numFmtId="0" fontId="4" fillId="0" borderId="80" xfId="2" applyBorder="1" applyAlignment="1">
      <alignment horizontal="left" vertical="top" wrapText="1"/>
    </xf>
    <xf numFmtId="164" fontId="7" fillId="3" borderId="68" xfId="0" applyNumberFormat="1" applyFont="1" applyFill="1" applyBorder="1" applyAlignment="1" applyProtection="1">
      <alignment horizontal="center" vertical="center"/>
      <protection hidden="1"/>
    </xf>
    <xf numFmtId="164" fontId="7" fillId="3" borderId="34" xfId="0" applyNumberFormat="1" applyFont="1" applyFill="1" applyBorder="1" applyAlignment="1" applyProtection="1">
      <alignment horizontal="center" vertical="center"/>
      <protection hidden="1"/>
    </xf>
    <xf numFmtId="164" fontId="7" fillId="3" borderId="85" xfId="0" applyNumberFormat="1" applyFont="1" applyFill="1" applyBorder="1" applyAlignment="1" applyProtection="1">
      <alignment horizontal="center" vertical="center"/>
      <protection hidden="1"/>
    </xf>
    <xf numFmtId="164" fontId="7" fillId="3" borderId="5" xfId="0" applyNumberFormat="1" applyFont="1" applyFill="1" applyBorder="1" applyAlignment="1" applyProtection="1">
      <alignment horizontal="center" vertical="center"/>
      <protection hidden="1"/>
    </xf>
    <xf numFmtId="164" fontId="7" fillId="3" borderId="6" xfId="0" applyNumberFormat="1" applyFont="1" applyFill="1" applyBorder="1" applyAlignment="1" applyProtection="1">
      <alignment horizontal="center" vertical="center"/>
      <protection hidden="1"/>
    </xf>
    <xf numFmtId="164" fontId="7" fillId="3" borderId="7" xfId="0" applyNumberFormat="1" applyFont="1" applyFill="1" applyBorder="1" applyAlignment="1" applyProtection="1">
      <alignment horizontal="center" vertical="center"/>
      <protection hidden="1"/>
    </xf>
    <xf numFmtId="0" fontId="4" fillId="0" borderId="65" xfId="2" applyBorder="1" applyAlignment="1">
      <alignment horizontal="center" vertical="top" wrapText="1"/>
    </xf>
    <xf numFmtId="0" fontId="4" fillId="0" borderId="64" xfId="2" applyBorder="1" applyAlignment="1">
      <alignment horizontal="center" vertical="top" wrapText="1"/>
    </xf>
    <xf numFmtId="0" fontId="4" fillId="0" borderId="16" xfId="2" applyBorder="1" applyAlignment="1">
      <alignment horizontal="center" vertical="top" wrapText="1"/>
    </xf>
    <xf numFmtId="0" fontId="4" fillId="0" borderId="13" xfId="2" applyBorder="1" applyAlignment="1">
      <alignment horizontal="center" vertical="top" wrapText="1"/>
    </xf>
    <xf numFmtId="164" fontId="2" fillId="10" borderId="1" xfId="0" applyNumberFormat="1" applyFont="1" applyFill="1" applyBorder="1" applyAlignment="1">
      <alignment horizontal="center" vertical="center"/>
    </xf>
    <xf numFmtId="164" fontId="3" fillId="3" borderId="1" xfId="0" applyNumberFormat="1" applyFont="1" applyFill="1" applyBorder="1" applyAlignment="1">
      <alignment horizontal="center" vertical="center" wrapText="1"/>
    </xf>
    <xf numFmtId="0" fontId="0" fillId="14" borderId="0" xfId="0" applyFill="1" applyAlignment="1">
      <alignment vertical="top"/>
    </xf>
  </cellXfs>
  <cellStyles count="6">
    <cellStyle name="Currency" xfId="1" builtinId="4"/>
    <cellStyle name="Heading 3" xfId="3" builtinId="18"/>
    <cellStyle name="Hyperlink" xfId="4" builtinId="8"/>
    <cellStyle name="Normal" xfId="0" builtinId="0"/>
    <cellStyle name="Normal 2" xfId="2" xr:uid="{00000000-0005-0000-0000-000002000000}"/>
    <cellStyle name="Percent" xfId="5" builtinId="5"/>
  </cellStyles>
  <dxfs count="210">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CC66FF"/>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data.bls.gov/timeseries/WPU141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fitToPage="1"/>
  </sheetPr>
  <dimension ref="B1:G19"/>
  <sheetViews>
    <sheetView showGridLines="0" tabSelected="1" zoomScaleNormal="100" workbookViewId="0">
      <selection activeCell="B1" sqref="B1:G1"/>
    </sheetView>
  </sheetViews>
  <sheetFormatPr defaultColWidth="9.140625" defaultRowHeight="14.25" x14ac:dyDescent="0.25"/>
  <cols>
    <col min="1" max="1" width="2.5703125" style="6" customWidth="1"/>
    <col min="2" max="2" width="14.7109375" style="6" bestFit="1" customWidth="1"/>
    <col min="3" max="3" width="55.85546875" style="6" customWidth="1"/>
    <col min="4" max="4" width="31.7109375" style="6" customWidth="1"/>
    <col min="5" max="5" width="40.42578125" style="6" customWidth="1"/>
    <col min="6" max="6" width="13.5703125" style="6" customWidth="1"/>
    <col min="7" max="7" width="9.42578125" style="6" customWidth="1"/>
    <col min="8" max="16384" width="9.140625" style="6"/>
  </cols>
  <sheetData>
    <row r="1" spans="2:7" s="5" customFormat="1" ht="84" customHeight="1" x14ac:dyDescent="0.25">
      <c r="B1" s="252" t="s">
        <v>612</v>
      </c>
      <c r="C1" s="252"/>
      <c r="D1" s="252"/>
      <c r="E1" s="252"/>
      <c r="F1" s="252"/>
      <c r="G1" s="252"/>
    </row>
    <row r="2" spans="2:7" s="5" customFormat="1" ht="60" customHeight="1" x14ac:dyDescent="0.25">
      <c r="B2" s="252" t="s">
        <v>373</v>
      </c>
      <c r="C2" s="252"/>
      <c r="D2" s="252"/>
      <c r="E2" s="252"/>
      <c r="F2" s="252"/>
      <c r="G2" s="252"/>
    </row>
    <row r="3" spans="2:7" s="19" customFormat="1" ht="55.5" customHeight="1" x14ac:dyDescent="0.25">
      <c r="B3" s="257" t="s">
        <v>204</v>
      </c>
      <c r="C3" s="257"/>
      <c r="D3" s="257"/>
      <c r="E3" s="257"/>
      <c r="F3" s="257"/>
      <c r="G3" s="257"/>
    </row>
    <row r="4" spans="2:7" s="7" customFormat="1" ht="33.75" customHeight="1" thickBot="1" x14ac:dyDescent="0.3">
      <c r="B4" s="253" t="s">
        <v>15</v>
      </c>
      <c r="C4" s="253"/>
      <c r="D4" s="15"/>
      <c r="E4" s="15"/>
      <c r="F4" s="15"/>
      <c r="G4" s="15"/>
    </row>
    <row r="5" spans="2:7" ht="36" customHeight="1" thickBot="1" x14ac:dyDescent="0.3">
      <c r="B5" s="20" t="s">
        <v>183</v>
      </c>
      <c r="C5" s="21" t="s">
        <v>149</v>
      </c>
      <c r="D5" s="21" t="s">
        <v>178</v>
      </c>
      <c r="E5" s="72" t="s">
        <v>238</v>
      </c>
      <c r="F5" s="22" t="s">
        <v>18</v>
      </c>
      <c r="G5" s="22" t="s">
        <v>121</v>
      </c>
    </row>
    <row r="6" spans="2:7" s="4" customFormat="1" ht="26.25" thickBot="1" x14ac:dyDescent="0.3">
      <c r="B6" s="73" t="s">
        <v>236</v>
      </c>
      <c r="C6" s="254" t="s">
        <v>237</v>
      </c>
      <c r="D6" s="255"/>
      <c r="E6" s="255"/>
      <c r="F6" s="255"/>
      <c r="G6" s="256"/>
    </row>
    <row r="7" spans="2:7" s="4" customFormat="1" ht="13.5" thickTop="1" x14ac:dyDescent="0.25">
      <c r="B7" s="74" t="s">
        <v>378</v>
      </c>
      <c r="C7" s="70" t="s">
        <v>384</v>
      </c>
      <c r="D7" s="71" t="s">
        <v>17</v>
      </c>
      <c r="E7" s="70" t="s">
        <v>374</v>
      </c>
      <c r="F7" s="70" t="s">
        <v>379</v>
      </c>
      <c r="G7" s="86"/>
    </row>
    <row r="8" spans="2:7" s="4" customFormat="1" ht="12.75" x14ac:dyDescent="0.25">
      <c r="B8" s="74" t="s">
        <v>377</v>
      </c>
      <c r="C8" s="88" t="s">
        <v>383</v>
      </c>
      <c r="D8" s="71" t="s">
        <v>17</v>
      </c>
      <c r="E8" s="76" t="s">
        <v>374</v>
      </c>
      <c r="F8" s="70" t="s">
        <v>372</v>
      </c>
      <c r="G8" s="87"/>
    </row>
    <row r="9" spans="2:7" s="4" customFormat="1" ht="12.75" x14ac:dyDescent="0.25">
      <c r="B9" s="74" t="s">
        <v>368</v>
      </c>
      <c r="C9" s="70" t="s">
        <v>369</v>
      </c>
      <c r="D9" s="71" t="s">
        <v>189</v>
      </c>
      <c r="E9" s="76" t="s">
        <v>374</v>
      </c>
      <c r="F9" s="70" t="s">
        <v>372</v>
      </c>
      <c r="G9" s="86"/>
    </row>
    <row r="10" spans="2:7" s="4" customFormat="1" ht="12.75" x14ac:dyDescent="0.25">
      <c r="B10" s="74" t="s">
        <v>375</v>
      </c>
      <c r="C10" s="70" t="s">
        <v>382</v>
      </c>
      <c r="D10" s="71" t="s">
        <v>17</v>
      </c>
      <c r="E10" s="76" t="s">
        <v>374</v>
      </c>
      <c r="F10" s="70" t="s">
        <v>66</v>
      </c>
      <c r="G10" s="86"/>
    </row>
    <row r="11" spans="2:7" s="4" customFormat="1" ht="12.75" x14ac:dyDescent="0.25">
      <c r="B11" s="74" t="s">
        <v>370</v>
      </c>
      <c r="C11" s="70" t="s">
        <v>371</v>
      </c>
      <c r="D11" s="71" t="s">
        <v>189</v>
      </c>
      <c r="E11" s="76" t="s">
        <v>374</v>
      </c>
      <c r="F11" s="70" t="s">
        <v>66</v>
      </c>
      <c r="G11" s="86"/>
    </row>
    <row r="12" spans="2:7" s="4" customFormat="1" ht="12.75" x14ac:dyDescent="0.25">
      <c r="B12" s="74" t="s">
        <v>376</v>
      </c>
      <c r="C12" s="70" t="s">
        <v>381</v>
      </c>
      <c r="D12" s="71" t="s">
        <v>17</v>
      </c>
      <c r="E12" s="76" t="s">
        <v>374</v>
      </c>
      <c r="F12" s="70" t="s">
        <v>380</v>
      </c>
      <c r="G12" s="86"/>
    </row>
    <row r="13" spans="2:7" s="4" customFormat="1" ht="90" customHeight="1" x14ac:dyDescent="0.25">
      <c r="B13" s="74" t="s">
        <v>239</v>
      </c>
      <c r="C13" s="70" t="s">
        <v>240</v>
      </c>
      <c r="D13" s="71" t="s">
        <v>246</v>
      </c>
      <c r="E13" s="76" t="s">
        <v>385</v>
      </c>
      <c r="F13" s="70" t="s">
        <v>66</v>
      </c>
      <c r="G13" s="75"/>
    </row>
    <row r="14" spans="2:7" s="4" customFormat="1" ht="93.75" customHeight="1" x14ac:dyDescent="0.25">
      <c r="B14" s="74" t="s">
        <v>241</v>
      </c>
      <c r="C14" s="70" t="s">
        <v>242</v>
      </c>
      <c r="D14" s="71" t="s">
        <v>247</v>
      </c>
      <c r="E14" s="76" t="s">
        <v>385</v>
      </c>
      <c r="F14" s="70" t="s">
        <v>243</v>
      </c>
      <c r="G14" s="77"/>
    </row>
    <row r="15" spans="2:7" ht="93.75" customHeight="1" x14ac:dyDescent="0.25">
      <c r="B15" s="74" t="s">
        <v>244</v>
      </c>
      <c r="C15" s="70" t="s">
        <v>245</v>
      </c>
      <c r="D15" s="71" t="s">
        <v>189</v>
      </c>
      <c r="E15" s="76" t="s">
        <v>385</v>
      </c>
      <c r="F15" s="70" t="s">
        <v>243</v>
      </c>
      <c r="G15" s="75"/>
    </row>
    <row r="16" spans="2:7" ht="93.75" customHeight="1" x14ac:dyDescent="0.25">
      <c r="B16" s="74" t="s">
        <v>248</v>
      </c>
      <c r="C16" s="70" t="s">
        <v>251</v>
      </c>
      <c r="D16" s="71" t="s">
        <v>246</v>
      </c>
      <c r="E16" s="76" t="s">
        <v>385</v>
      </c>
      <c r="F16" s="70" t="s">
        <v>249</v>
      </c>
      <c r="G16" s="77"/>
    </row>
    <row r="17" spans="2:7" ht="91.5" customHeight="1" x14ac:dyDescent="0.25">
      <c r="B17" s="74" t="s">
        <v>250</v>
      </c>
      <c r="C17" s="70" t="s">
        <v>252</v>
      </c>
      <c r="D17" s="71" t="s">
        <v>247</v>
      </c>
      <c r="E17" s="76" t="s">
        <v>385</v>
      </c>
      <c r="F17" s="70" t="s">
        <v>253</v>
      </c>
      <c r="G17" s="92"/>
    </row>
    <row r="18" spans="2:7" ht="92.25" customHeight="1" x14ac:dyDescent="0.25">
      <c r="B18" s="74" t="s">
        <v>254</v>
      </c>
      <c r="C18" s="70" t="s">
        <v>255</v>
      </c>
      <c r="D18" s="71" t="s">
        <v>189</v>
      </c>
      <c r="E18" s="76" t="s">
        <v>385</v>
      </c>
      <c r="F18" s="70" t="s">
        <v>253</v>
      </c>
      <c r="G18" s="77"/>
    </row>
    <row r="19" spans="2:7" ht="15" thickBot="1" x14ac:dyDescent="0.3">
      <c r="B19" s="83" t="s">
        <v>367</v>
      </c>
      <c r="C19" s="84" t="s">
        <v>386</v>
      </c>
      <c r="D19" s="85" t="s">
        <v>189</v>
      </c>
      <c r="E19" s="89" t="s">
        <v>374</v>
      </c>
      <c r="F19" s="84" t="s">
        <v>387</v>
      </c>
      <c r="G19" s="93"/>
    </row>
  </sheetData>
  <sheetProtection algorithmName="SHA-512" hashValue="2c7PhOxG9KAl9i3bRyAKwHFtTayxu94yDOgoTWZtxIRhqADWY7wM3VPrB6s72AOm3xIV/zPKpmPgdBqitVVfqw==" saltValue="GH5kF1l/hBnSkknDzugtJA==" spinCount="100000" sheet="1" objects="1" scenarios="1"/>
  <mergeCells count="5">
    <mergeCell ref="B1:G1"/>
    <mergeCell ref="B4:C4"/>
    <mergeCell ref="C6:G6"/>
    <mergeCell ref="B2:G2"/>
    <mergeCell ref="B3:G3"/>
  </mergeCells>
  <phoneticPr fontId="20" type="noConversion"/>
  <pageMargins left="0.5" right="0.5" top="0.75" bottom="0.25" header="0.3" footer="0.3"/>
  <pageSetup scale="6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12300-BE50-4A75-A16F-65CD259522AB}">
  <sheetPr>
    <tabColor rgb="FFCC66FF"/>
    <pageSetUpPr autoPageBreaks="0" fitToPage="1"/>
  </sheetPr>
  <dimension ref="A1:H128"/>
  <sheetViews>
    <sheetView showGridLines="0" zoomScaleNormal="100" zoomScaleSheetLayoutView="100" workbookViewId="0">
      <selection activeCell="A2" sqref="A2"/>
    </sheetView>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6" width="20.7109375" style="106" customWidth="1"/>
    <col min="7" max="7" width="1.5703125" style="107" customWidth="1"/>
    <col min="8" max="8" width="20.7109375" style="106" customWidth="1"/>
    <col min="9" max="16384" width="9.140625" style="2"/>
  </cols>
  <sheetData>
    <row r="1" spans="1:8" customFormat="1" ht="15" x14ac:dyDescent="0.25">
      <c r="A1" s="69" t="s">
        <v>611</v>
      </c>
      <c r="B1" s="2"/>
      <c r="C1" s="2"/>
      <c r="D1" s="2"/>
      <c r="E1" s="2"/>
      <c r="F1" s="107"/>
      <c r="G1" s="107"/>
      <c r="H1" s="107"/>
    </row>
    <row r="2" spans="1:8" customFormat="1" ht="15.75" thickBot="1" x14ac:dyDescent="0.3">
      <c r="A2" s="25" t="s">
        <v>395</v>
      </c>
      <c r="B2" s="26"/>
      <c r="C2" s="26"/>
      <c r="D2" s="26"/>
      <c r="F2" s="116"/>
      <c r="G2" s="116"/>
      <c r="H2" s="116"/>
    </row>
    <row r="3" spans="1:8" ht="24" thickBot="1" x14ac:dyDescent="0.25">
      <c r="A3" s="270" t="s">
        <v>102</v>
      </c>
      <c r="B3" s="271"/>
      <c r="C3" s="271"/>
      <c r="D3" s="272"/>
      <c r="E3" s="9"/>
      <c r="F3" s="145"/>
      <c r="G3" s="145"/>
      <c r="H3" s="145"/>
    </row>
    <row r="4" spans="1:8" ht="51" customHeight="1" thickBot="1" x14ac:dyDescent="0.25">
      <c r="A4" s="273" t="s">
        <v>120</v>
      </c>
      <c r="B4" s="274"/>
      <c r="C4" s="274"/>
      <c r="D4" s="275"/>
      <c r="E4" s="9"/>
      <c r="F4" s="145"/>
      <c r="G4" s="145"/>
      <c r="H4" s="145"/>
    </row>
    <row r="5" spans="1:8" s="4" customFormat="1" ht="11.25" customHeight="1" thickBot="1" x14ac:dyDescent="0.3">
      <c r="A5" s="57"/>
      <c r="B5" s="57"/>
      <c r="C5" s="57"/>
      <c r="D5" s="57"/>
      <c r="E5" s="57"/>
      <c r="F5" s="123"/>
      <c r="G5" s="123"/>
      <c r="H5" s="114"/>
    </row>
    <row r="6" spans="1:8" s="8" customFormat="1" ht="32.25" thickBot="1" x14ac:dyDescent="0.25">
      <c r="A6" s="276" t="s">
        <v>151</v>
      </c>
      <c r="B6" s="277"/>
      <c r="C6" s="277"/>
      <c r="D6" s="278"/>
      <c r="E6" s="36"/>
      <c r="F6" s="95" t="s">
        <v>396</v>
      </c>
      <c r="G6" s="96"/>
      <c r="H6" s="95" t="s">
        <v>397</v>
      </c>
    </row>
    <row r="7" spans="1:8" s="4" customFormat="1" ht="15" customHeight="1" thickBot="1" x14ac:dyDescent="0.3">
      <c r="A7" s="41" t="s">
        <v>6</v>
      </c>
      <c r="B7" s="27" t="s">
        <v>165</v>
      </c>
      <c r="C7" s="32"/>
      <c r="D7" s="40"/>
      <c r="E7" s="37"/>
      <c r="F7" s="97" t="s">
        <v>17</v>
      </c>
      <c r="G7" s="98"/>
      <c r="H7" s="97" t="s">
        <v>17</v>
      </c>
    </row>
    <row r="8" spans="1:8" ht="39.75" thickTop="1" thickBot="1" x14ac:dyDescent="0.25">
      <c r="A8" s="42" t="s">
        <v>9</v>
      </c>
      <c r="B8" s="267" t="s">
        <v>152</v>
      </c>
      <c r="C8" s="268"/>
      <c r="D8" s="269"/>
      <c r="E8" s="13"/>
      <c r="F8" s="207" t="s">
        <v>398</v>
      </c>
      <c r="G8" s="99"/>
      <c r="H8" s="207" t="s">
        <v>433</v>
      </c>
    </row>
    <row r="9" spans="1:8" s="8" customFormat="1" ht="44.25" customHeight="1" thickTop="1" thickBot="1" x14ac:dyDescent="0.25">
      <c r="A9" s="42" t="s">
        <v>136</v>
      </c>
      <c r="B9" s="267" t="s">
        <v>196</v>
      </c>
      <c r="C9" s="268"/>
      <c r="D9" s="269"/>
      <c r="E9" s="13"/>
      <c r="F9" s="207" t="s">
        <v>394</v>
      </c>
      <c r="G9" s="99"/>
      <c r="H9" s="207" t="s">
        <v>434</v>
      </c>
    </row>
    <row r="10" spans="1:8" ht="12.75" customHeight="1" thickTop="1" x14ac:dyDescent="0.2">
      <c r="A10" s="43" t="s">
        <v>0</v>
      </c>
      <c r="B10" s="258" t="s">
        <v>154</v>
      </c>
      <c r="C10" s="259"/>
      <c r="D10" s="260"/>
      <c r="E10" s="13"/>
      <c r="F10" s="127" t="s">
        <v>399</v>
      </c>
      <c r="G10" s="99"/>
      <c r="H10" s="127" t="s">
        <v>428</v>
      </c>
    </row>
    <row r="11" spans="1:8" x14ac:dyDescent="0.2">
      <c r="A11" s="43" t="s">
        <v>1</v>
      </c>
      <c r="B11" s="258" t="s">
        <v>153</v>
      </c>
      <c r="C11" s="259"/>
      <c r="D11" s="260"/>
      <c r="E11" s="13"/>
      <c r="F11" s="127">
        <v>3500</v>
      </c>
      <c r="G11" s="99"/>
      <c r="H11" s="127">
        <v>350</v>
      </c>
    </row>
    <row r="12" spans="1:8" ht="14.1" customHeight="1" thickBot="1" x14ac:dyDescent="0.25">
      <c r="A12" s="44" t="s">
        <v>2</v>
      </c>
      <c r="B12" s="261" t="s">
        <v>155</v>
      </c>
      <c r="C12" s="262"/>
      <c r="D12" s="263"/>
      <c r="E12" s="13"/>
      <c r="F12" s="128" t="s">
        <v>393</v>
      </c>
      <c r="G12" s="99"/>
      <c r="H12" s="128" t="s">
        <v>435</v>
      </c>
    </row>
    <row r="13" spans="1:8" ht="13.5" thickTop="1" x14ac:dyDescent="0.2">
      <c r="A13" s="43" t="s">
        <v>3</v>
      </c>
      <c r="B13" s="258" t="s">
        <v>157</v>
      </c>
      <c r="C13" s="259"/>
      <c r="D13" s="260"/>
      <c r="E13" s="13"/>
      <c r="F13" s="127" t="s">
        <v>400</v>
      </c>
      <c r="G13" s="99"/>
      <c r="H13" s="127" t="s">
        <v>400</v>
      </c>
    </row>
    <row r="14" spans="1:8" x14ac:dyDescent="0.2">
      <c r="A14" s="43" t="s">
        <v>4</v>
      </c>
      <c r="B14" s="258" t="s">
        <v>156</v>
      </c>
      <c r="C14" s="259"/>
      <c r="D14" s="260"/>
      <c r="E14" s="13"/>
      <c r="F14" s="127" t="s">
        <v>392</v>
      </c>
      <c r="G14" s="99"/>
      <c r="H14" s="127" t="s">
        <v>431</v>
      </c>
    </row>
    <row r="15" spans="1:8" ht="15.75" customHeight="1" thickBot="1" x14ac:dyDescent="0.25">
      <c r="A15" s="45" t="s">
        <v>5</v>
      </c>
      <c r="B15" s="261" t="s">
        <v>158</v>
      </c>
      <c r="C15" s="262"/>
      <c r="D15" s="263"/>
      <c r="E15" s="13"/>
      <c r="F15" s="129" t="s">
        <v>401</v>
      </c>
      <c r="G15" s="99"/>
      <c r="H15" s="129" t="s">
        <v>436</v>
      </c>
    </row>
    <row r="16" spans="1:8" ht="26.45" customHeight="1" thickTop="1" x14ac:dyDescent="0.2">
      <c r="A16" s="43" t="s">
        <v>101</v>
      </c>
      <c r="B16" s="264" t="s">
        <v>160</v>
      </c>
      <c r="C16" s="265"/>
      <c r="D16" s="266"/>
      <c r="E16" s="13"/>
      <c r="F16" s="130">
        <v>0</v>
      </c>
      <c r="G16" s="99"/>
      <c r="H16" s="130">
        <v>0</v>
      </c>
    </row>
    <row r="17" spans="1:8" ht="30.75" customHeight="1" thickBot="1" x14ac:dyDescent="0.25">
      <c r="A17" s="45" t="s">
        <v>43</v>
      </c>
      <c r="B17" s="261" t="s">
        <v>159</v>
      </c>
      <c r="C17" s="262"/>
      <c r="D17" s="263"/>
      <c r="E17" s="13"/>
      <c r="F17" s="129" t="s">
        <v>402</v>
      </c>
      <c r="G17" s="99"/>
      <c r="H17" s="129" t="s">
        <v>402</v>
      </c>
    </row>
    <row r="18" spans="1:8" s="10" customFormat="1" ht="14.25" thickTop="1" thickBot="1" x14ac:dyDescent="0.25">
      <c r="C18" s="11"/>
      <c r="D18" s="11"/>
      <c r="E18" s="11"/>
      <c r="F18" s="100"/>
      <c r="G18" s="100"/>
      <c r="H18" s="100"/>
    </row>
    <row r="19" spans="1:8" s="12" customFormat="1" ht="32.25" thickBot="1" x14ac:dyDescent="0.25">
      <c r="A19" s="276" t="s">
        <v>150</v>
      </c>
      <c r="B19" s="277"/>
      <c r="C19" s="277"/>
      <c r="D19" s="278"/>
      <c r="E19" s="36"/>
      <c r="F19" s="95" t="s">
        <v>396</v>
      </c>
      <c r="G19" s="96"/>
      <c r="H19" s="95" t="s">
        <v>397</v>
      </c>
    </row>
    <row r="20" spans="1:8" s="4" customFormat="1" ht="15" customHeight="1" thickBot="1" x14ac:dyDescent="0.3">
      <c r="A20" s="55" t="s">
        <v>6</v>
      </c>
      <c r="B20" s="31" t="s">
        <v>165</v>
      </c>
      <c r="C20" s="33"/>
      <c r="D20" s="48"/>
      <c r="E20" s="37"/>
      <c r="F20" s="97" t="s">
        <v>17</v>
      </c>
      <c r="G20" s="98"/>
      <c r="H20" s="97" t="s">
        <v>17</v>
      </c>
    </row>
    <row r="21" spans="1:8" ht="56.25" customHeight="1" x14ac:dyDescent="0.2">
      <c r="A21" s="46" t="s">
        <v>42</v>
      </c>
      <c r="B21" s="279" t="s">
        <v>161</v>
      </c>
      <c r="C21" s="280"/>
      <c r="D21" s="281"/>
      <c r="E21" s="13"/>
      <c r="F21" s="208">
        <f>66246*('PPI Adj'!D6)</f>
        <v>77309.082000000009</v>
      </c>
      <c r="G21" s="99"/>
      <c r="H21" s="208">
        <f>69743*('PPI Adj'!D6)</f>
        <v>81390.081000000006</v>
      </c>
    </row>
    <row r="22" spans="1:8" ht="42.75" customHeight="1" x14ac:dyDescent="0.2">
      <c r="A22" s="43" t="s">
        <v>20</v>
      </c>
      <c r="B22" s="258" t="s">
        <v>162</v>
      </c>
      <c r="C22" s="259"/>
      <c r="D22" s="260"/>
      <c r="E22" s="13"/>
      <c r="F22" s="231">
        <f>1982.4*('PPI Adj'!D6)</f>
        <v>2313.4608000000003</v>
      </c>
      <c r="G22" s="99"/>
      <c r="H22" s="231" t="s">
        <v>182</v>
      </c>
    </row>
    <row r="23" spans="1:8" ht="28.5" customHeight="1" thickBot="1" x14ac:dyDescent="0.25">
      <c r="A23" s="47" t="s">
        <v>41</v>
      </c>
      <c r="B23" s="300" t="s">
        <v>163</v>
      </c>
      <c r="C23" s="301"/>
      <c r="D23" s="302"/>
      <c r="E23" s="1"/>
      <c r="F23" s="214">
        <v>5</v>
      </c>
      <c r="G23" s="101"/>
      <c r="H23" s="214">
        <v>5</v>
      </c>
    </row>
    <row r="24" spans="1:8" ht="13.5" thickBot="1" x14ac:dyDescent="0.25">
      <c r="A24" s="58"/>
      <c r="B24" s="1"/>
      <c r="C24" s="1"/>
      <c r="D24" s="1"/>
      <c r="E24" s="1"/>
      <c r="F24" s="102"/>
      <c r="G24" s="101"/>
      <c r="H24" s="102"/>
    </row>
    <row r="25" spans="1:8" s="8" customFormat="1" ht="32.25" thickBot="1" x14ac:dyDescent="0.25">
      <c r="A25" s="303" t="s">
        <v>164</v>
      </c>
      <c r="B25" s="304"/>
      <c r="C25" s="304"/>
      <c r="D25" s="305"/>
      <c r="E25" s="38"/>
      <c r="F25" s="95" t="s">
        <v>396</v>
      </c>
      <c r="G25" s="103"/>
      <c r="H25" s="95" t="s">
        <v>397</v>
      </c>
    </row>
    <row r="26" spans="1:8" s="3" customFormat="1" ht="15" customHeight="1" thickBot="1" x14ac:dyDescent="0.3">
      <c r="A26" s="55" t="s">
        <v>6</v>
      </c>
      <c r="B26" s="56" t="s">
        <v>7</v>
      </c>
      <c r="C26" s="306" t="s">
        <v>165</v>
      </c>
      <c r="D26" s="307"/>
      <c r="E26" s="39"/>
      <c r="F26" s="97" t="s">
        <v>17</v>
      </c>
      <c r="G26" s="104"/>
      <c r="H26" s="97" t="s">
        <v>17</v>
      </c>
    </row>
    <row r="27" spans="1:8" s="13" customFormat="1" ht="28.5" customHeight="1" thickBot="1" x14ac:dyDescent="0.3">
      <c r="A27" s="49" t="s">
        <v>8</v>
      </c>
      <c r="B27" s="29" t="s">
        <v>141</v>
      </c>
      <c r="C27" s="282" t="s">
        <v>118</v>
      </c>
      <c r="D27" s="283"/>
      <c r="E27" s="34"/>
      <c r="F27" s="133">
        <v>9900</v>
      </c>
      <c r="G27" s="105"/>
      <c r="H27" s="133">
        <v>9500</v>
      </c>
    </row>
    <row r="28" spans="1:8" s="13" customFormat="1" x14ac:dyDescent="0.25">
      <c r="A28" s="284" t="s">
        <v>21</v>
      </c>
      <c r="B28" s="286" t="s">
        <v>89</v>
      </c>
      <c r="C28" s="288" t="s">
        <v>67</v>
      </c>
      <c r="D28" s="289"/>
      <c r="E28" s="34"/>
      <c r="F28" s="134">
        <v>4</v>
      </c>
      <c r="G28" s="105"/>
      <c r="H28" s="134">
        <v>4</v>
      </c>
    </row>
    <row r="29" spans="1:8" s="13" customFormat="1" ht="13.5" thickBot="1" x14ac:dyDescent="0.3">
      <c r="A29" s="285"/>
      <c r="B29" s="287"/>
      <c r="C29" s="282" t="s">
        <v>68</v>
      </c>
      <c r="D29" s="283"/>
      <c r="E29" s="34"/>
      <c r="F29" s="135">
        <v>16</v>
      </c>
      <c r="G29" s="105"/>
      <c r="H29" s="135">
        <v>16</v>
      </c>
    </row>
    <row r="30" spans="1:8" s="13" customFormat="1" ht="15.95" customHeight="1" thickBot="1" x14ac:dyDescent="0.3">
      <c r="A30" s="50" t="s">
        <v>123</v>
      </c>
      <c r="B30" s="30" t="s">
        <v>119</v>
      </c>
      <c r="C30" s="298"/>
      <c r="D30" s="299"/>
      <c r="E30" s="35"/>
      <c r="F30" s="133"/>
      <c r="G30" s="232"/>
      <c r="H30" s="133"/>
    </row>
    <row r="31" spans="1:8" s="13" customFormat="1" x14ac:dyDescent="0.25">
      <c r="A31" s="284" t="s">
        <v>59</v>
      </c>
      <c r="B31" s="286"/>
      <c r="C31" s="288" t="s">
        <v>58</v>
      </c>
      <c r="D31" s="289"/>
      <c r="E31" s="34"/>
      <c r="F31" s="134">
        <v>139</v>
      </c>
      <c r="G31" s="105"/>
      <c r="H31" s="134">
        <v>156</v>
      </c>
    </row>
    <row r="32" spans="1:8" s="13" customFormat="1" x14ac:dyDescent="0.25">
      <c r="A32" s="292"/>
      <c r="B32" s="293"/>
      <c r="C32" s="294" t="s">
        <v>57</v>
      </c>
      <c r="D32" s="295"/>
      <c r="E32" s="34"/>
      <c r="F32" s="127">
        <v>241</v>
      </c>
      <c r="G32" s="105"/>
      <c r="H32" s="127">
        <v>239</v>
      </c>
    </row>
    <row r="33" spans="1:8" s="13" customFormat="1" x14ac:dyDescent="0.25">
      <c r="A33" s="292"/>
      <c r="B33" s="293"/>
      <c r="C33" s="294" t="s">
        <v>69</v>
      </c>
      <c r="D33" s="295"/>
      <c r="E33" s="34"/>
      <c r="F33" s="127">
        <v>80</v>
      </c>
      <c r="G33" s="105"/>
      <c r="H33" s="127">
        <v>80</v>
      </c>
    </row>
    <row r="34" spans="1:8" s="13" customFormat="1" x14ac:dyDescent="0.25">
      <c r="A34" s="292"/>
      <c r="B34" s="293"/>
      <c r="C34" s="296" t="s">
        <v>70</v>
      </c>
      <c r="D34" s="297"/>
      <c r="E34" s="34"/>
      <c r="F34" s="127">
        <v>72</v>
      </c>
      <c r="G34" s="105"/>
      <c r="H34" s="127">
        <v>74</v>
      </c>
    </row>
    <row r="35" spans="1:8" s="13" customFormat="1" ht="14.45" customHeight="1" thickBot="1" x14ac:dyDescent="0.3">
      <c r="A35" s="285"/>
      <c r="B35" s="287"/>
      <c r="C35" s="282" t="s">
        <v>111</v>
      </c>
      <c r="D35" s="283"/>
      <c r="E35" s="34"/>
      <c r="F35" s="135">
        <v>178</v>
      </c>
      <c r="G35" s="105"/>
      <c r="H35" s="135">
        <v>196</v>
      </c>
    </row>
    <row r="36" spans="1:8" s="13" customFormat="1" x14ac:dyDescent="0.25">
      <c r="A36" s="284" t="s">
        <v>11</v>
      </c>
      <c r="B36" s="286"/>
      <c r="C36" s="288" t="s">
        <v>24</v>
      </c>
      <c r="D36" s="289"/>
      <c r="E36" s="34"/>
      <c r="F36" s="134">
        <v>4100</v>
      </c>
      <c r="G36" s="105"/>
      <c r="H36" s="134">
        <v>4130</v>
      </c>
    </row>
    <row r="37" spans="1:8" s="13" customFormat="1" ht="15.95" customHeight="1" thickBot="1" x14ac:dyDescent="0.3">
      <c r="A37" s="285"/>
      <c r="B37" s="287"/>
      <c r="C37" s="282" t="s">
        <v>22</v>
      </c>
      <c r="D37" s="283"/>
      <c r="E37" s="34"/>
      <c r="F37" s="135">
        <v>4100</v>
      </c>
      <c r="G37" s="105"/>
      <c r="H37" s="135">
        <v>4130</v>
      </c>
    </row>
    <row r="38" spans="1:8" s="13" customFormat="1" x14ac:dyDescent="0.25">
      <c r="A38" s="284" t="s">
        <v>16</v>
      </c>
      <c r="B38" s="286"/>
      <c r="C38" s="288" t="s">
        <v>24</v>
      </c>
      <c r="D38" s="289"/>
      <c r="E38" s="34"/>
      <c r="F38" s="134">
        <v>6084</v>
      </c>
      <c r="G38" s="105"/>
      <c r="H38" s="134">
        <v>6000</v>
      </c>
    </row>
    <row r="39" spans="1:8" s="13" customFormat="1" ht="13.5" thickBot="1" x14ac:dyDescent="0.3">
      <c r="A39" s="285"/>
      <c r="B39" s="287"/>
      <c r="C39" s="290" t="s">
        <v>23</v>
      </c>
      <c r="D39" s="291"/>
      <c r="E39" s="34"/>
      <c r="F39" s="135">
        <v>6084</v>
      </c>
      <c r="G39" s="105"/>
      <c r="H39" s="135">
        <v>6000</v>
      </c>
    </row>
    <row r="40" spans="1:8" s="13" customFormat="1" ht="15.95" customHeight="1" thickBot="1" x14ac:dyDescent="0.3">
      <c r="A40" s="50" t="s">
        <v>52</v>
      </c>
      <c r="B40" s="30" t="s">
        <v>53</v>
      </c>
      <c r="C40" s="298"/>
      <c r="D40" s="299"/>
      <c r="E40" s="35"/>
      <c r="F40" s="133"/>
      <c r="G40" s="232"/>
      <c r="H40" s="133"/>
    </row>
    <row r="41" spans="1:8" s="13" customFormat="1" ht="13.5" customHeight="1" thickBot="1" x14ac:dyDescent="0.3">
      <c r="A41" s="308" t="s">
        <v>12</v>
      </c>
      <c r="B41" s="309" t="s">
        <v>142</v>
      </c>
      <c r="C41" s="288" t="s">
        <v>174</v>
      </c>
      <c r="D41" s="289"/>
      <c r="E41" s="34"/>
      <c r="F41" s="134" t="s">
        <v>391</v>
      </c>
      <c r="G41" s="105"/>
      <c r="H41" s="134" t="s">
        <v>437</v>
      </c>
    </row>
    <row r="42" spans="1:8" s="13" customFormat="1" ht="13.5" customHeight="1" thickBot="1" x14ac:dyDescent="0.3">
      <c r="A42" s="308"/>
      <c r="B42" s="309"/>
      <c r="C42" s="294" t="s">
        <v>175</v>
      </c>
      <c r="D42" s="295"/>
      <c r="E42" s="34"/>
      <c r="F42" s="127" t="s">
        <v>403</v>
      </c>
      <c r="G42" s="105"/>
      <c r="H42" s="127">
        <v>3195</v>
      </c>
    </row>
    <row r="43" spans="1:8" s="13" customFormat="1" ht="13.5" customHeight="1" thickBot="1" x14ac:dyDescent="0.3">
      <c r="A43" s="308"/>
      <c r="B43" s="309"/>
      <c r="C43" s="294" t="s">
        <v>176</v>
      </c>
      <c r="D43" s="295"/>
      <c r="E43" s="34"/>
      <c r="F43" s="126" t="s">
        <v>391</v>
      </c>
      <c r="G43" s="105"/>
      <c r="H43" s="126" t="s">
        <v>437</v>
      </c>
    </row>
    <row r="44" spans="1:8" s="13" customFormat="1" ht="13.5" customHeight="1" thickBot="1" x14ac:dyDescent="0.3">
      <c r="A44" s="308"/>
      <c r="B44" s="309"/>
      <c r="C44" s="294" t="s">
        <v>177</v>
      </c>
      <c r="D44" s="295"/>
      <c r="E44" s="34"/>
      <c r="F44" s="127" t="s">
        <v>403</v>
      </c>
      <c r="G44" s="105"/>
      <c r="H44" s="127">
        <v>3195</v>
      </c>
    </row>
    <row r="45" spans="1:8" s="13" customFormat="1" ht="13.5" customHeight="1" thickBot="1" x14ac:dyDescent="0.3">
      <c r="A45" s="308"/>
      <c r="B45" s="309"/>
      <c r="C45" s="294" t="s">
        <v>112</v>
      </c>
      <c r="D45" s="295"/>
      <c r="E45" s="34"/>
      <c r="F45" s="127" t="s">
        <v>404</v>
      </c>
      <c r="G45" s="105"/>
      <c r="H45" s="127" t="s">
        <v>186</v>
      </c>
    </row>
    <row r="46" spans="1:8" s="13" customFormat="1" ht="13.5" customHeight="1" thickBot="1" x14ac:dyDescent="0.3">
      <c r="A46" s="308"/>
      <c r="B46" s="309"/>
      <c r="C46" s="294" t="s">
        <v>113</v>
      </c>
      <c r="D46" s="295"/>
      <c r="E46" s="34"/>
      <c r="F46" s="127" t="s">
        <v>184</v>
      </c>
      <c r="G46" s="105"/>
      <c r="H46" s="127" t="s">
        <v>438</v>
      </c>
    </row>
    <row r="47" spans="1:8" s="13" customFormat="1" ht="13.5" customHeight="1" thickBot="1" x14ac:dyDescent="0.3">
      <c r="A47" s="308"/>
      <c r="B47" s="309"/>
      <c r="C47" s="296" t="s">
        <v>114</v>
      </c>
      <c r="D47" s="297"/>
      <c r="E47" s="34"/>
      <c r="F47" s="127" t="s">
        <v>405</v>
      </c>
      <c r="G47" s="105"/>
      <c r="H47" s="127" t="s">
        <v>186</v>
      </c>
    </row>
    <row r="48" spans="1:8" s="13" customFormat="1" ht="15" customHeight="1" thickBot="1" x14ac:dyDescent="0.3">
      <c r="A48" s="308"/>
      <c r="B48" s="309"/>
      <c r="C48" s="282" t="s">
        <v>115</v>
      </c>
      <c r="D48" s="283"/>
      <c r="E48" s="34"/>
      <c r="F48" s="135" t="s">
        <v>184</v>
      </c>
      <c r="G48" s="105"/>
      <c r="H48" s="135" t="s">
        <v>438</v>
      </c>
    </row>
    <row r="49" spans="1:8" s="13" customFormat="1" ht="14.45" customHeight="1" x14ac:dyDescent="0.25">
      <c r="A49" s="284" t="s">
        <v>10</v>
      </c>
      <c r="B49" s="286" t="s">
        <v>62</v>
      </c>
      <c r="C49" s="288" t="s">
        <v>116</v>
      </c>
      <c r="D49" s="289"/>
      <c r="E49" s="34"/>
      <c r="F49" s="134" t="s">
        <v>406</v>
      </c>
      <c r="G49" s="105"/>
      <c r="H49" s="134" t="s">
        <v>439</v>
      </c>
    </row>
    <row r="50" spans="1:8" s="13" customFormat="1" x14ac:dyDescent="0.25">
      <c r="A50" s="292"/>
      <c r="B50" s="293"/>
      <c r="C50" s="294" t="s">
        <v>117</v>
      </c>
      <c r="D50" s="295"/>
      <c r="E50" s="34"/>
      <c r="F50" s="127" t="s">
        <v>390</v>
      </c>
      <c r="G50" s="105"/>
      <c r="H50" s="127" t="s">
        <v>390</v>
      </c>
    </row>
    <row r="51" spans="1:8" s="13" customFormat="1" ht="13.5" thickBot="1" x14ac:dyDescent="0.3">
      <c r="A51" s="292"/>
      <c r="B51" s="293"/>
      <c r="C51" s="290" t="s">
        <v>71</v>
      </c>
      <c r="D51" s="291"/>
      <c r="E51" s="34"/>
      <c r="F51" s="136" t="s">
        <v>407</v>
      </c>
      <c r="G51" s="105"/>
      <c r="H51" s="136" t="s">
        <v>440</v>
      </c>
    </row>
    <row r="52" spans="1:8" s="13" customFormat="1" ht="80.099999999999994" customHeight="1" thickBot="1" x14ac:dyDescent="0.3">
      <c r="A52" s="51" t="s">
        <v>9</v>
      </c>
      <c r="B52" s="28" t="s">
        <v>140</v>
      </c>
      <c r="C52" s="296"/>
      <c r="D52" s="297"/>
      <c r="E52" s="34"/>
      <c r="F52" s="134"/>
      <c r="G52" s="105"/>
      <c r="H52" s="134"/>
    </row>
    <row r="53" spans="1:8" s="13" customFormat="1" x14ac:dyDescent="0.25">
      <c r="A53" s="284" t="s">
        <v>25</v>
      </c>
      <c r="B53" s="286" t="s">
        <v>93</v>
      </c>
      <c r="C53" s="288" t="s">
        <v>72</v>
      </c>
      <c r="D53" s="289"/>
      <c r="E53" s="34"/>
      <c r="F53" s="134" t="s">
        <v>408</v>
      </c>
      <c r="G53" s="105"/>
      <c r="H53" s="134" t="s">
        <v>441</v>
      </c>
    </row>
    <row r="54" spans="1:8" s="13" customFormat="1" ht="68.099999999999994" customHeight="1" thickBot="1" x14ac:dyDescent="0.3">
      <c r="A54" s="285"/>
      <c r="B54" s="287"/>
      <c r="C54" s="282" t="s">
        <v>73</v>
      </c>
      <c r="D54" s="283"/>
      <c r="E54" s="34"/>
      <c r="F54" s="135">
        <v>220</v>
      </c>
      <c r="G54" s="105"/>
      <c r="H54" s="135">
        <v>250</v>
      </c>
    </row>
    <row r="55" spans="1:8" s="13" customFormat="1" x14ac:dyDescent="0.25">
      <c r="A55" s="284" t="s">
        <v>26</v>
      </c>
      <c r="B55" s="286"/>
      <c r="C55" s="288" t="s">
        <v>74</v>
      </c>
      <c r="D55" s="289"/>
      <c r="E55" s="34"/>
      <c r="F55" s="134" t="s">
        <v>409</v>
      </c>
      <c r="G55" s="105"/>
      <c r="H55" s="134" t="s">
        <v>442</v>
      </c>
    </row>
    <row r="56" spans="1:8" s="13" customFormat="1" x14ac:dyDescent="0.25">
      <c r="A56" s="292"/>
      <c r="B56" s="293"/>
      <c r="C56" s="294" t="s">
        <v>75</v>
      </c>
      <c r="D56" s="295"/>
      <c r="E56" s="34"/>
      <c r="F56" s="127">
        <v>2</v>
      </c>
      <c r="G56" s="105"/>
      <c r="H56" s="127">
        <v>2</v>
      </c>
    </row>
    <row r="57" spans="1:8" s="13" customFormat="1" ht="13.5" thickBot="1" x14ac:dyDescent="0.3">
      <c r="A57" s="285"/>
      <c r="B57" s="287"/>
      <c r="C57" s="282" t="s">
        <v>76</v>
      </c>
      <c r="D57" s="283"/>
      <c r="E57" s="34"/>
      <c r="F57" s="135">
        <v>770</v>
      </c>
      <c r="G57" s="105"/>
      <c r="H57" s="135" t="s">
        <v>443</v>
      </c>
    </row>
    <row r="58" spans="1:8" s="13" customFormat="1" ht="15.95" customHeight="1" thickBot="1" x14ac:dyDescent="0.3">
      <c r="A58" s="50" t="s">
        <v>44</v>
      </c>
      <c r="B58" s="30" t="s">
        <v>45</v>
      </c>
      <c r="C58" s="298"/>
      <c r="D58" s="299"/>
      <c r="E58" s="35"/>
      <c r="F58" s="137"/>
      <c r="G58" s="232"/>
      <c r="H58" s="137"/>
    </row>
    <row r="59" spans="1:8" s="13" customFormat="1" ht="28.5" customHeight="1" thickBot="1" x14ac:dyDescent="0.3">
      <c r="A59" s="50" t="s">
        <v>44</v>
      </c>
      <c r="B59" s="30" t="s">
        <v>63</v>
      </c>
      <c r="C59" s="298"/>
      <c r="D59" s="299"/>
      <c r="E59" s="35"/>
      <c r="F59" s="137"/>
      <c r="G59" s="232"/>
      <c r="H59" s="137"/>
    </row>
    <row r="60" spans="1:8" s="13" customFormat="1" ht="30" customHeight="1" thickBot="1" x14ac:dyDescent="0.3">
      <c r="A60" s="50" t="s">
        <v>44</v>
      </c>
      <c r="B60" s="30" t="s">
        <v>64</v>
      </c>
      <c r="C60" s="298"/>
      <c r="D60" s="299"/>
      <c r="E60" s="35"/>
      <c r="F60" s="137"/>
      <c r="G60" s="232"/>
      <c r="H60" s="137"/>
    </row>
    <row r="61" spans="1:8" s="13" customFormat="1" ht="15.95" customHeight="1" thickBot="1" x14ac:dyDescent="0.3">
      <c r="A61" s="50" t="s">
        <v>50</v>
      </c>
      <c r="B61" s="30" t="s">
        <v>65</v>
      </c>
      <c r="C61" s="298"/>
      <c r="D61" s="299"/>
      <c r="E61" s="35"/>
      <c r="F61" s="137"/>
      <c r="G61" s="232"/>
      <c r="H61" s="137"/>
    </row>
    <row r="62" spans="1:8" s="13" customFormat="1" ht="13.5" thickBot="1" x14ac:dyDescent="0.3">
      <c r="A62" s="50" t="s">
        <v>27</v>
      </c>
      <c r="B62" s="30"/>
      <c r="C62" s="310" t="s">
        <v>77</v>
      </c>
      <c r="D62" s="311"/>
      <c r="E62" s="34"/>
      <c r="F62" s="133" t="s">
        <v>410</v>
      </c>
      <c r="G62" s="105"/>
      <c r="H62" s="133" t="s">
        <v>410</v>
      </c>
    </row>
    <row r="63" spans="1:8" s="13" customFormat="1" ht="40.5" customHeight="1" thickBot="1" x14ac:dyDescent="0.3">
      <c r="A63" s="50" t="s">
        <v>28</v>
      </c>
      <c r="B63" s="30" t="s">
        <v>147</v>
      </c>
      <c r="C63" s="310" t="s">
        <v>78</v>
      </c>
      <c r="D63" s="311"/>
      <c r="E63" s="34"/>
      <c r="F63" s="133">
        <v>32</v>
      </c>
      <c r="G63" s="105"/>
      <c r="H63" s="133">
        <v>25</v>
      </c>
    </row>
    <row r="64" spans="1:8" s="13" customFormat="1" ht="40.5" customHeight="1" thickBot="1" x14ac:dyDescent="0.3">
      <c r="A64" s="50" t="s">
        <v>51</v>
      </c>
      <c r="B64" s="30" t="s">
        <v>79</v>
      </c>
      <c r="C64" s="298"/>
      <c r="D64" s="299"/>
      <c r="E64" s="35"/>
      <c r="F64" s="133"/>
      <c r="G64" s="232"/>
      <c r="H64" s="133"/>
    </row>
    <row r="65" spans="1:8" s="13" customFormat="1" ht="41.1" customHeight="1" thickBot="1" x14ac:dyDescent="0.3">
      <c r="A65" s="50" t="s">
        <v>54</v>
      </c>
      <c r="B65" s="30" t="s">
        <v>80</v>
      </c>
      <c r="C65" s="298"/>
      <c r="D65" s="299"/>
      <c r="E65" s="35"/>
      <c r="F65" s="133"/>
      <c r="G65" s="232"/>
      <c r="H65" s="133"/>
    </row>
    <row r="66" spans="1:8" s="13" customFormat="1" ht="77.099999999999994" customHeight="1" thickBot="1" x14ac:dyDescent="0.3">
      <c r="A66" s="50" t="s">
        <v>29</v>
      </c>
      <c r="B66" s="30" t="s">
        <v>126</v>
      </c>
      <c r="C66" s="298"/>
      <c r="D66" s="299"/>
      <c r="E66" s="35"/>
      <c r="F66" s="133"/>
      <c r="G66" s="232"/>
      <c r="H66" s="133"/>
    </row>
    <row r="67" spans="1:8" s="13" customFormat="1" ht="51.75" thickBot="1" x14ac:dyDescent="0.3">
      <c r="A67" s="50" t="s">
        <v>31</v>
      </c>
      <c r="B67" s="30" t="s">
        <v>94</v>
      </c>
      <c r="C67" s="310" t="s">
        <v>30</v>
      </c>
      <c r="D67" s="311"/>
      <c r="E67" s="34"/>
      <c r="F67" s="133" t="s">
        <v>411</v>
      </c>
      <c r="G67" s="105"/>
      <c r="H67" s="133" t="s">
        <v>411</v>
      </c>
    </row>
    <row r="68" spans="1:8" s="13" customFormat="1" ht="26.45" customHeight="1" thickBot="1" x14ac:dyDescent="0.3">
      <c r="A68" s="50" t="s">
        <v>55</v>
      </c>
      <c r="B68" s="30" t="s">
        <v>95</v>
      </c>
      <c r="C68" s="298"/>
      <c r="D68" s="299"/>
      <c r="E68" s="35"/>
      <c r="F68" s="133"/>
      <c r="G68" s="232"/>
      <c r="H68" s="133"/>
    </row>
    <row r="69" spans="1:8" s="13" customFormat="1" ht="39" thickBot="1" x14ac:dyDescent="0.3">
      <c r="A69" s="50" t="s">
        <v>32</v>
      </c>
      <c r="B69" s="30" t="s">
        <v>96</v>
      </c>
      <c r="C69" s="310" t="s">
        <v>30</v>
      </c>
      <c r="D69" s="311"/>
      <c r="E69" s="34"/>
      <c r="F69" s="133" t="s">
        <v>412</v>
      </c>
      <c r="G69" s="105"/>
      <c r="H69" s="133" t="s">
        <v>412</v>
      </c>
    </row>
    <row r="70" spans="1:8" s="13" customFormat="1" ht="42.6" customHeight="1" thickBot="1" x14ac:dyDescent="0.3">
      <c r="A70" s="50" t="s">
        <v>56</v>
      </c>
      <c r="B70" s="30" t="s">
        <v>167</v>
      </c>
      <c r="C70" s="298"/>
      <c r="D70" s="299"/>
      <c r="E70" s="35"/>
      <c r="F70" s="133"/>
      <c r="G70" s="232"/>
      <c r="H70" s="133"/>
    </row>
    <row r="71" spans="1:8" s="13" customFormat="1" ht="30.95" customHeight="1" thickBot="1" x14ac:dyDescent="0.3">
      <c r="A71" s="50" t="s">
        <v>48</v>
      </c>
      <c r="B71" s="30" t="s">
        <v>47</v>
      </c>
      <c r="C71" s="298"/>
      <c r="D71" s="299"/>
      <c r="E71" s="35"/>
      <c r="F71" s="133"/>
      <c r="G71" s="232"/>
      <c r="H71" s="133"/>
    </row>
    <row r="72" spans="1:8" s="13" customFormat="1" ht="27.6" customHeight="1" thickBot="1" x14ac:dyDescent="0.3">
      <c r="A72" s="50" t="s">
        <v>49</v>
      </c>
      <c r="B72" s="30" t="s">
        <v>103</v>
      </c>
      <c r="C72" s="298"/>
      <c r="D72" s="299"/>
      <c r="E72" s="35"/>
      <c r="F72" s="133"/>
      <c r="G72" s="232"/>
      <c r="H72" s="133"/>
    </row>
    <row r="73" spans="1:8" s="13" customFormat="1" ht="26.25" thickBot="1" x14ac:dyDescent="0.3">
      <c r="A73" s="50" t="s">
        <v>46</v>
      </c>
      <c r="B73" s="30" t="s">
        <v>81</v>
      </c>
      <c r="C73" s="298"/>
      <c r="D73" s="299"/>
      <c r="E73" s="35"/>
      <c r="F73" s="133"/>
      <c r="G73" s="232"/>
      <c r="H73" s="133"/>
    </row>
    <row r="74" spans="1:8" ht="13.5" thickBot="1" x14ac:dyDescent="0.25"/>
    <row r="75" spans="1:8" s="17" customFormat="1" ht="32.25" thickBot="1" x14ac:dyDescent="0.3">
      <c r="A75" s="303" t="s">
        <v>168</v>
      </c>
      <c r="B75" s="304"/>
      <c r="C75" s="304"/>
      <c r="D75" s="305"/>
      <c r="E75" s="38"/>
      <c r="F75" s="95" t="s">
        <v>396</v>
      </c>
      <c r="G75" s="103"/>
      <c r="H75" s="95" t="s">
        <v>397</v>
      </c>
    </row>
    <row r="76" spans="1:8" s="3" customFormat="1" ht="15" customHeight="1" thickBot="1" x14ac:dyDescent="0.3">
      <c r="A76" s="312" t="s">
        <v>169</v>
      </c>
      <c r="B76" s="313"/>
      <c r="C76" s="313"/>
      <c r="D76" s="314"/>
      <c r="E76" s="39"/>
      <c r="F76" s="97" t="s">
        <v>17</v>
      </c>
      <c r="G76" s="104"/>
      <c r="H76" s="97" t="s">
        <v>17</v>
      </c>
    </row>
    <row r="77" spans="1:8" s="13" customFormat="1" x14ac:dyDescent="0.25">
      <c r="A77" s="315" t="s">
        <v>82</v>
      </c>
      <c r="B77" s="316"/>
      <c r="C77" s="316"/>
      <c r="D77" s="317"/>
      <c r="E77" s="35"/>
      <c r="F77" s="233" t="s">
        <v>182</v>
      </c>
      <c r="G77" s="232"/>
      <c r="H77" s="233" t="s">
        <v>182</v>
      </c>
    </row>
    <row r="78" spans="1:8" s="13" customFormat="1" x14ac:dyDescent="0.25">
      <c r="A78" s="315" t="s">
        <v>83</v>
      </c>
      <c r="B78" s="316"/>
      <c r="C78" s="316"/>
      <c r="D78" s="317"/>
      <c r="E78" s="35"/>
      <c r="F78" s="138">
        <f>-1361*('PPI Adj'!D6)</f>
        <v>-1588.287</v>
      </c>
      <c r="G78" s="232"/>
      <c r="H78" s="138">
        <f>-1361*('PPI Adj'!D6)</f>
        <v>-1588.287</v>
      </c>
    </row>
    <row r="79" spans="1:8" s="13" customFormat="1" x14ac:dyDescent="0.25">
      <c r="A79" s="318" t="s">
        <v>34</v>
      </c>
      <c r="B79" s="319"/>
      <c r="C79" s="319"/>
      <c r="D79" s="320"/>
      <c r="E79" s="34"/>
      <c r="F79" s="139">
        <f>379.4*('PPI Adj'!D6)</f>
        <v>442.75979999999998</v>
      </c>
      <c r="G79" s="105"/>
      <c r="H79" s="139">
        <f>379.1205*('PPI Adj'!D6)</f>
        <v>442.43362350000001</v>
      </c>
    </row>
    <row r="80" spans="1:8" s="13" customFormat="1" x14ac:dyDescent="0.25">
      <c r="A80" s="318" t="s">
        <v>35</v>
      </c>
      <c r="B80" s="319"/>
      <c r="C80" s="319"/>
      <c r="D80" s="320"/>
      <c r="E80" s="35"/>
      <c r="F80" s="139" t="s">
        <v>188</v>
      </c>
      <c r="G80" s="232"/>
      <c r="H80" s="139" t="s">
        <v>188</v>
      </c>
    </row>
    <row r="81" spans="1:8" s="13" customFormat="1" x14ac:dyDescent="0.25">
      <c r="A81" s="318" t="s">
        <v>36</v>
      </c>
      <c r="B81" s="319"/>
      <c r="C81" s="319"/>
      <c r="D81" s="320"/>
      <c r="E81" s="34"/>
      <c r="F81" s="139">
        <f>413*('PPI Adj'!D6)</f>
        <v>481.971</v>
      </c>
      <c r="G81" s="105"/>
      <c r="H81" s="139">
        <f>414.4*('PPI Adj'!D6)</f>
        <v>483.60480000000001</v>
      </c>
    </row>
    <row r="82" spans="1:8" s="13" customFormat="1" x14ac:dyDescent="0.25">
      <c r="A82" s="318" t="s">
        <v>60</v>
      </c>
      <c r="B82" s="319"/>
      <c r="C82" s="319"/>
      <c r="D82" s="320"/>
      <c r="E82" s="34"/>
      <c r="F82" s="139">
        <f>1918*('PPI Adj'!D6)</f>
        <v>2238.306</v>
      </c>
      <c r="G82" s="105"/>
      <c r="H82" s="139">
        <f>1101.8*('PPI Adj'!D6)</f>
        <v>1285.8006</v>
      </c>
    </row>
    <row r="83" spans="1:8" s="13" customFormat="1" x14ac:dyDescent="0.25">
      <c r="A83" s="318" t="s">
        <v>61</v>
      </c>
      <c r="B83" s="319"/>
      <c r="C83" s="319"/>
      <c r="D83" s="320"/>
      <c r="E83" s="34"/>
      <c r="F83" s="139" t="s">
        <v>188</v>
      </c>
      <c r="G83" s="105"/>
      <c r="H83" s="139" t="s">
        <v>188</v>
      </c>
    </row>
    <row r="84" spans="1:8" s="13" customFormat="1" x14ac:dyDescent="0.25">
      <c r="A84" s="318" t="s">
        <v>86</v>
      </c>
      <c r="B84" s="319"/>
      <c r="C84" s="319"/>
      <c r="D84" s="320"/>
      <c r="E84" s="34"/>
      <c r="F84" s="139">
        <f>1083.6*('PPI Adj'!D6)</f>
        <v>1264.5611999999999</v>
      </c>
      <c r="G84" s="105"/>
      <c r="H84" s="139">
        <v>0</v>
      </c>
    </row>
    <row r="85" spans="1:8" x14ac:dyDescent="0.2">
      <c r="A85" s="318" t="s">
        <v>85</v>
      </c>
      <c r="B85" s="319"/>
      <c r="C85" s="319"/>
      <c r="D85" s="320"/>
      <c r="E85" s="34"/>
      <c r="F85" s="139" t="s">
        <v>182</v>
      </c>
      <c r="G85" s="105"/>
      <c r="H85" s="139" t="s">
        <v>182</v>
      </c>
    </row>
    <row r="86" spans="1:8" x14ac:dyDescent="0.2">
      <c r="A86" s="318" t="s">
        <v>13</v>
      </c>
      <c r="B86" s="319"/>
      <c r="C86" s="319"/>
      <c r="D86" s="320"/>
      <c r="E86" s="34"/>
      <c r="F86" s="139">
        <f>6498.8*('PPI Adj'!D6)</f>
        <v>7584.0996000000005</v>
      </c>
      <c r="G86" s="105"/>
      <c r="H86" s="139">
        <v>0</v>
      </c>
    </row>
    <row r="87" spans="1:8" x14ac:dyDescent="0.2">
      <c r="A87" s="318" t="s">
        <v>38</v>
      </c>
      <c r="B87" s="319"/>
      <c r="C87" s="319"/>
      <c r="D87" s="320"/>
      <c r="E87" s="35"/>
      <c r="F87" s="139">
        <f>1111.6*('PPI Adj'!D6)</f>
        <v>1297.2372</v>
      </c>
      <c r="G87" s="232"/>
      <c r="H87" s="139">
        <f>1111.6*('PPI Adj'!D6)</f>
        <v>1297.2372</v>
      </c>
    </row>
    <row r="88" spans="1:8" x14ac:dyDescent="0.2">
      <c r="A88" s="318" t="s">
        <v>39</v>
      </c>
      <c r="B88" s="319"/>
      <c r="C88" s="319"/>
      <c r="D88" s="320"/>
      <c r="E88" s="34"/>
      <c r="F88" s="139">
        <f>616*('PPI Adj'!D6)</f>
        <v>718.87200000000007</v>
      </c>
      <c r="G88" s="105"/>
      <c r="H88" s="139">
        <f>845.6*('PPI Adj'!D6)</f>
        <v>986.8152</v>
      </c>
    </row>
    <row r="89" spans="1:8" x14ac:dyDescent="0.2">
      <c r="A89" s="318" t="s">
        <v>90</v>
      </c>
      <c r="B89" s="319"/>
      <c r="C89" s="319"/>
      <c r="D89" s="320"/>
      <c r="E89" s="35"/>
      <c r="F89" s="139">
        <v>0</v>
      </c>
      <c r="G89" s="232"/>
      <c r="H89" s="139">
        <v>0</v>
      </c>
    </row>
    <row r="90" spans="1:8" ht="14.1" customHeight="1" x14ac:dyDescent="0.2">
      <c r="A90" s="318" t="s">
        <v>88</v>
      </c>
      <c r="B90" s="319"/>
      <c r="C90" s="319"/>
      <c r="D90" s="320"/>
      <c r="E90" s="34"/>
      <c r="F90" s="139" t="s">
        <v>182</v>
      </c>
      <c r="G90" s="105"/>
      <c r="H90" s="139" t="s">
        <v>182</v>
      </c>
    </row>
    <row r="91" spans="1:8" x14ac:dyDescent="0.2">
      <c r="A91" s="318" t="s">
        <v>40</v>
      </c>
      <c r="B91" s="319"/>
      <c r="C91" s="319"/>
      <c r="D91" s="320"/>
      <c r="E91" s="34"/>
      <c r="F91" s="139">
        <f>329*('PPI Adj'!D6)</f>
        <v>383.94300000000004</v>
      </c>
      <c r="G91" s="105"/>
      <c r="H91" s="139">
        <f>329*('PPI Adj'!D6)</f>
        <v>383.94300000000004</v>
      </c>
    </row>
    <row r="92" spans="1:8" x14ac:dyDescent="0.2">
      <c r="A92" s="318" t="s">
        <v>14</v>
      </c>
      <c r="B92" s="319"/>
      <c r="C92" s="319"/>
      <c r="D92" s="320"/>
      <c r="E92" s="34"/>
      <c r="F92" s="139">
        <f>3977*('PPI Adj'!D6)</f>
        <v>4641.1590000000006</v>
      </c>
      <c r="G92" s="105"/>
      <c r="H92" s="139">
        <f>3924*('PPI Adj'!D6)</f>
        <v>4579.308</v>
      </c>
    </row>
    <row r="93" spans="1:8" x14ac:dyDescent="0.2">
      <c r="A93" s="318" t="s">
        <v>91</v>
      </c>
      <c r="B93" s="319"/>
      <c r="C93" s="319"/>
      <c r="D93" s="320"/>
      <c r="E93" s="34"/>
      <c r="F93" s="139">
        <f>3055*('PPI Adj'!D6)</f>
        <v>3565.1849999999999</v>
      </c>
      <c r="G93" s="105"/>
      <c r="H93" s="139">
        <f>3055*('PPI Adj'!D6)</f>
        <v>3565.1849999999999</v>
      </c>
    </row>
    <row r="94" spans="1:8" x14ac:dyDescent="0.2">
      <c r="A94" s="324" t="s">
        <v>324</v>
      </c>
      <c r="B94" s="325"/>
      <c r="C94" s="325"/>
      <c r="D94" s="326"/>
      <c r="E94" s="34"/>
      <c r="F94" s="222">
        <v>0</v>
      </c>
      <c r="G94" s="105"/>
      <c r="H94" s="222">
        <v>0</v>
      </c>
    </row>
    <row r="95" spans="1:8" ht="14.1" customHeight="1" thickBot="1" x14ac:dyDescent="0.25">
      <c r="A95" s="321" t="s">
        <v>92</v>
      </c>
      <c r="B95" s="322"/>
      <c r="C95" s="322"/>
      <c r="D95" s="323"/>
      <c r="E95" s="35"/>
      <c r="F95" s="140">
        <f>-929*('PPI Adj'!D6)</f>
        <v>-1084.143</v>
      </c>
      <c r="G95" s="232"/>
      <c r="H95" s="140">
        <f>-509*('PPI Adj'!D6)</f>
        <v>-594.00300000000004</v>
      </c>
    </row>
    <row r="96" spans="1:8" ht="13.5" thickBot="1" x14ac:dyDescent="0.25"/>
    <row r="97" spans="1:8" s="17" customFormat="1" ht="32.25" thickBot="1" x14ac:dyDescent="0.3">
      <c r="A97" s="303" t="s">
        <v>166</v>
      </c>
      <c r="B97" s="304"/>
      <c r="C97" s="304"/>
      <c r="D97" s="305"/>
      <c r="E97" s="38"/>
      <c r="F97" s="95" t="s">
        <v>389</v>
      </c>
      <c r="G97" s="103"/>
      <c r="H97" s="95" t="s">
        <v>389</v>
      </c>
    </row>
    <row r="98" spans="1:8" s="3" customFormat="1" ht="15" customHeight="1" thickBot="1" x14ac:dyDescent="0.3">
      <c r="A98" s="52" t="s">
        <v>33</v>
      </c>
      <c r="B98" s="24" t="s">
        <v>7</v>
      </c>
      <c r="C98" s="327" t="s">
        <v>165</v>
      </c>
      <c r="D98" s="328"/>
      <c r="E98" s="39"/>
      <c r="F98" s="97" t="s">
        <v>17</v>
      </c>
      <c r="G98" s="104"/>
      <c r="H98" s="97" t="s">
        <v>17</v>
      </c>
    </row>
    <row r="99" spans="1:8" s="13" customFormat="1" ht="28.5" customHeight="1" thickBot="1" x14ac:dyDescent="0.3">
      <c r="A99" s="53" t="s">
        <v>82</v>
      </c>
      <c r="B99" s="16" t="s">
        <v>130</v>
      </c>
      <c r="C99" s="329"/>
      <c r="D99" s="330"/>
      <c r="E99" s="35"/>
      <c r="F99" s="133"/>
      <c r="G99" s="232"/>
      <c r="H99" s="133"/>
    </row>
    <row r="100" spans="1:8" s="13" customFormat="1" ht="41.1" customHeight="1" thickBot="1" x14ac:dyDescent="0.3">
      <c r="A100" s="53" t="s">
        <v>83</v>
      </c>
      <c r="B100" s="23" t="s">
        <v>146</v>
      </c>
      <c r="C100" s="329"/>
      <c r="D100" s="330"/>
      <c r="E100" s="35"/>
      <c r="F100" s="133"/>
      <c r="G100" s="232"/>
      <c r="H100" s="133"/>
    </row>
    <row r="101" spans="1:8" s="13" customFormat="1" ht="28.5" customHeight="1" thickBot="1" x14ac:dyDescent="0.3">
      <c r="A101" s="50" t="s">
        <v>34</v>
      </c>
      <c r="B101" s="30" t="s">
        <v>107</v>
      </c>
      <c r="C101" s="310" t="s">
        <v>30</v>
      </c>
      <c r="D101" s="311"/>
      <c r="E101" s="34"/>
      <c r="F101" s="133" t="s">
        <v>413</v>
      </c>
      <c r="G101" s="105"/>
      <c r="H101" s="133" t="s">
        <v>413</v>
      </c>
    </row>
    <row r="102" spans="1:8" s="13" customFormat="1" ht="53.45" customHeight="1" thickBot="1" x14ac:dyDescent="0.3">
      <c r="A102" s="50" t="s">
        <v>35</v>
      </c>
      <c r="B102" s="30" t="s">
        <v>97</v>
      </c>
      <c r="C102" s="298"/>
      <c r="D102" s="299"/>
      <c r="E102" s="35"/>
      <c r="F102" s="134" t="s">
        <v>188</v>
      </c>
      <c r="G102" s="232"/>
      <c r="H102" s="134" t="s">
        <v>188</v>
      </c>
    </row>
    <row r="103" spans="1:8" s="13" customFormat="1" ht="30.6" customHeight="1" thickBot="1" x14ac:dyDescent="0.3">
      <c r="A103" s="50" t="s">
        <v>36</v>
      </c>
      <c r="B103" s="30" t="s">
        <v>84</v>
      </c>
      <c r="C103" s="310" t="s">
        <v>99</v>
      </c>
      <c r="D103" s="311"/>
      <c r="E103" s="34"/>
      <c r="F103" s="133" t="s">
        <v>414</v>
      </c>
      <c r="G103" s="105"/>
      <c r="H103" s="133" t="s">
        <v>444</v>
      </c>
    </row>
    <row r="104" spans="1:8" s="13" customFormat="1" ht="12.75" customHeight="1" x14ac:dyDescent="0.25">
      <c r="A104" s="284" t="s">
        <v>60</v>
      </c>
      <c r="B104" s="286" t="s">
        <v>127</v>
      </c>
      <c r="C104" s="288" t="s">
        <v>176</v>
      </c>
      <c r="D104" s="289"/>
      <c r="E104" s="34"/>
      <c r="F104" s="134" t="s">
        <v>391</v>
      </c>
      <c r="G104" s="105"/>
      <c r="H104" s="134" t="s">
        <v>437</v>
      </c>
    </row>
    <row r="105" spans="1:8" s="13" customFormat="1" ht="12.75" customHeight="1" x14ac:dyDescent="0.25">
      <c r="A105" s="292"/>
      <c r="B105" s="293"/>
      <c r="C105" s="294" t="s">
        <v>177</v>
      </c>
      <c r="D105" s="295"/>
      <c r="E105" s="34"/>
      <c r="F105" s="127" t="s">
        <v>415</v>
      </c>
      <c r="G105" s="105"/>
      <c r="H105" s="127" t="s">
        <v>445</v>
      </c>
    </row>
    <row r="106" spans="1:8" s="13" customFormat="1" ht="12.75" customHeight="1" x14ac:dyDescent="0.25">
      <c r="A106" s="292"/>
      <c r="B106" s="293"/>
      <c r="C106" s="294" t="s">
        <v>114</v>
      </c>
      <c r="D106" s="295"/>
      <c r="E106" s="34"/>
      <c r="F106" s="127" t="s">
        <v>416</v>
      </c>
      <c r="G106" s="105"/>
      <c r="H106" s="127" t="s">
        <v>446</v>
      </c>
    </row>
    <row r="107" spans="1:8" s="13" customFormat="1" ht="39" thickBot="1" x14ac:dyDescent="0.3">
      <c r="A107" s="285"/>
      <c r="B107" s="287"/>
      <c r="C107" s="282" t="s">
        <v>115</v>
      </c>
      <c r="D107" s="283"/>
      <c r="E107" s="34"/>
      <c r="F107" s="135" t="s">
        <v>417</v>
      </c>
      <c r="G107" s="105"/>
      <c r="H107" s="135" t="s">
        <v>417</v>
      </c>
    </row>
    <row r="108" spans="1:8" s="13" customFormat="1" ht="12.75" customHeight="1" x14ac:dyDescent="0.25">
      <c r="A108" s="284" t="s">
        <v>61</v>
      </c>
      <c r="B108" s="286" t="s">
        <v>128</v>
      </c>
      <c r="C108" s="288" t="s">
        <v>174</v>
      </c>
      <c r="D108" s="289"/>
      <c r="E108" s="34"/>
      <c r="F108" s="134" t="s">
        <v>391</v>
      </c>
      <c r="G108" s="105"/>
      <c r="H108" s="134" t="s">
        <v>437</v>
      </c>
    </row>
    <row r="109" spans="1:8" s="13" customFormat="1" ht="12.75" customHeight="1" x14ac:dyDescent="0.25">
      <c r="A109" s="292"/>
      <c r="B109" s="293"/>
      <c r="C109" s="294" t="s">
        <v>175</v>
      </c>
      <c r="D109" s="295"/>
      <c r="E109" s="34"/>
      <c r="F109" s="126">
        <v>3042</v>
      </c>
      <c r="G109" s="105"/>
      <c r="H109" s="126" t="s">
        <v>447</v>
      </c>
    </row>
    <row r="110" spans="1:8" s="13" customFormat="1" ht="12.75" customHeight="1" x14ac:dyDescent="0.25">
      <c r="A110" s="292"/>
      <c r="B110" s="293"/>
      <c r="C110" s="294" t="s">
        <v>176</v>
      </c>
      <c r="D110" s="295"/>
      <c r="E110" s="34"/>
      <c r="F110" s="126" t="s">
        <v>391</v>
      </c>
      <c r="G110" s="105"/>
      <c r="H110" s="126" t="s">
        <v>437</v>
      </c>
    </row>
    <row r="111" spans="1:8" s="13" customFormat="1" ht="12.75" customHeight="1" x14ac:dyDescent="0.25">
      <c r="A111" s="292"/>
      <c r="B111" s="293"/>
      <c r="C111" s="294" t="s">
        <v>177</v>
      </c>
      <c r="D111" s="295"/>
      <c r="E111" s="34"/>
      <c r="F111" s="127">
        <v>3042</v>
      </c>
      <c r="G111" s="105"/>
      <c r="H111" s="127" t="s">
        <v>447</v>
      </c>
    </row>
    <row r="112" spans="1:8" s="13" customFormat="1" ht="12.75" customHeight="1" x14ac:dyDescent="0.25">
      <c r="A112" s="292"/>
      <c r="B112" s="293"/>
      <c r="C112" s="294" t="s">
        <v>112</v>
      </c>
      <c r="D112" s="295"/>
      <c r="E112" s="34"/>
      <c r="F112" s="127" t="s">
        <v>404</v>
      </c>
      <c r="G112" s="105"/>
      <c r="H112" s="127" t="s">
        <v>186</v>
      </c>
    </row>
    <row r="113" spans="1:8" s="13" customFormat="1" ht="25.5" x14ac:dyDescent="0.25">
      <c r="A113" s="292"/>
      <c r="B113" s="293"/>
      <c r="C113" s="294" t="s">
        <v>113</v>
      </c>
      <c r="D113" s="295"/>
      <c r="E113" s="34"/>
      <c r="F113" s="126" t="s">
        <v>184</v>
      </c>
      <c r="G113" s="105"/>
      <c r="H113" s="126" t="s">
        <v>438</v>
      </c>
    </row>
    <row r="114" spans="1:8" s="13" customFormat="1" ht="12.75" customHeight="1" x14ac:dyDescent="0.25">
      <c r="A114" s="292"/>
      <c r="B114" s="293"/>
      <c r="C114" s="294" t="s">
        <v>114</v>
      </c>
      <c r="D114" s="295"/>
      <c r="E114" s="34"/>
      <c r="F114" s="126" t="s">
        <v>404</v>
      </c>
      <c r="G114" s="105"/>
      <c r="H114" s="126" t="s">
        <v>186</v>
      </c>
    </row>
    <row r="115" spans="1:8" s="13" customFormat="1" ht="26.25" thickBot="1" x14ac:dyDescent="0.3">
      <c r="A115" s="285"/>
      <c r="B115" s="287"/>
      <c r="C115" s="282" t="s">
        <v>115</v>
      </c>
      <c r="D115" s="283"/>
      <c r="E115" s="34"/>
      <c r="F115" s="135" t="s">
        <v>184</v>
      </c>
      <c r="G115" s="105"/>
      <c r="H115" s="135" t="s">
        <v>438</v>
      </c>
    </row>
    <row r="116" spans="1:8" s="13" customFormat="1" ht="144" customHeight="1" thickBot="1" x14ac:dyDescent="0.3">
      <c r="A116" s="54" t="s">
        <v>86</v>
      </c>
      <c r="B116" s="18" t="s">
        <v>143</v>
      </c>
      <c r="C116" s="310" t="s">
        <v>104</v>
      </c>
      <c r="D116" s="311"/>
      <c r="E116" s="34"/>
      <c r="F116" s="134" t="s">
        <v>418</v>
      </c>
      <c r="G116" s="105"/>
      <c r="H116" s="134" t="s">
        <v>418</v>
      </c>
    </row>
    <row r="117" spans="1:8" ht="170.1" customHeight="1" thickBot="1" x14ac:dyDescent="0.25">
      <c r="A117" s="50" t="s">
        <v>85</v>
      </c>
      <c r="B117" s="14" t="s">
        <v>170</v>
      </c>
      <c r="C117" s="310" t="s">
        <v>104</v>
      </c>
      <c r="D117" s="311"/>
      <c r="E117" s="34"/>
      <c r="F117" s="133"/>
      <c r="G117" s="105"/>
      <c r="H117" s="133"/>
    </row>
    <row r="118" spans="1:8" ht="38.25" x14ac:dyDescent="0.2">
      <c r="A118" s="284" t="s">
        <v>13</v>
      </c>
      <c r="B118" s="286" t="s">
        <v>98</v>
      </c>
      <c r="C118" s="288" t="s">
        <v>30</v>
      </c>
      <c r="D118" s="289"/>
      <c r="E118" s="34"/>
      <c r="F118" s="134" t="s">
        <v>419</v>
      </c>
      <c r="G118" s="105"/>
      <c r="H118" s="134" t="s">
        <v>419</v>
      </c>
    </row>
    <row r="119" spans="1:8" ht="27.6" customHeight="1" thickBot="1" x14ac:dyDescent="0.25">
      <c r="A119" s="285"/>
      <c r="B119" s="287"/>
      <c r="C119" s="282" t="s">
        <v>109</v>
      </c>
      <c r="D119" s="283"/>
      <c r="E119" s="34"/>
      <c r="F119" s="135" t="s">
        <v>420</v>
      </c>
      <c r="G119" s="105"/>
      <c r="H119" s="135" t="s">
        <v>420</v>
      </c>
    </row>
    <row r="120" spans="1:8" ht="42.6" customHeight="1" thickBot="1" x14ac:dyDescent="0.25">
      <c r="A120" s="50" t="s">
        <v>38</v>
      </c>
      <c r="B120" s="30" t="s">
        <v>87</v>
      </c>
      <c r="C120" s="298"/>
      <c r="D120" s="299"/>
      <c r="E120" s="35"/>
      <c r="F120" s="133"/>
      <c r="G120" s="232"/>
      <c r="H120" s="133"/>
    </row>
    <row r="121" spans="1:8" ht="28.5" customHeight="1" thickBot="1" x14ac:dyDescent="0.25">
      <c r="A121" s="50" t="s">
        <v>39</v>
      </c>
      <c r="B121" s="30" t="s">
        <v>106</v>
      </c>
      <c r="C121" s="310" t="s">
        <v>105</v>
      </c>
      <c r="D121" s="311"/>
      <c r="E121" s="34"/>
      <c r="F121" s="133" t="s">
        <v>422</v>
      </c>
      <c r="G121" s="105"/>
      <c r="H121" s="133" t="s">
        <v>421</v>
      </c>
    </row>
    <row r="122" spans="1:8" ht="41.1" customHeight="1" thickBot="1" x14ac:dyDescent="0.25">
      <c r="A122" s="50" t="s">
        <v>90</v>
      </c>
      <c r="B122" s="30" t="s">
        <v>129</v>
      </c>
      <c r="C122" s="298"/>
      <c r="D122" s="299"/>
      <c r="E122" s="35"/>
      <c r="F122" s="133" t="s">
        <v>423</v>
      </c>
      <c r="G122" s="232"/>
      <c r="H122" s="133" t="s">
        <v>423</v>
      </c>
    </row>
    <row r="123" spans="1:8" x14ac:dyDescent="0.2">
      <c r="A123" s="284" t="s">
        <v>88</v>
      </c>
      <c r="B123" s="286" t="s">
        <v>148</v>
      </c>
      <c r="C123" s="288" t="s">
        <v>100</v>
      </c>
      <c r="D123" s="289"/>
      <c r="E123" s="34"/>
      <c r="F123" s="134" t="s">
        <v>182</v>
      </c>
      <c r="G123" s="105"/>
      <c r="H123" s="134" t="s">
        <v>182</v>
      </c>
    </row>
    <row r="124" spans="1:8" ht="102.6" customHeight="1" thickBot="1" x14ac:dyDescent="0.25">
      <c r="A124" s="285"/>
      <c r="B124" s="287"/>
      <c r="C124" s="282" t="s">
        <v>110</v>
      </c>
      <c r="D124" s="283"/>
      <c r="E124" s="34"/>
      <c r="F124" s="221"/>
      <c r="G124" s="105"/>
      <c r="H124" s="221"/>
    </row>
    <row r="125" spans="1:8" ht="39" thickBot="1" x14ac:dyDescent="0.25">
      <c r="A125" s="50" t="s">
        <v>40</v>
      </c>
      <c r="B125" s="30" t="s">
        <v>137</v>
      </c>
      <c r="C125" s="310" t="s">
        <v>100</v>
      </c>
      <c r="D125" s="311"/>
      <c r="E125" s="34"/>
      <c r="F125" s="135" t="s">
        <v>424</v>
      </c>
      <c r="G125" s="105"/>
      <c r="H125" s="135" t="s">
        <v>448</v>
      </c>
    </row>
    <row r="126" spans="1:8" ht="51.95" customHeight="1" thickBot="1" x14ac:dyDescent="0.25">
      <c r="A126" s="50" t="s">
        <v>14</v>
      </c>
      <c r="B126" s="30" t="s">
        <v>138</v>
      </c>
      <c r="C126" s="310" t="s">
        <v>139</v>
      </c>
      <c r="D126" s="311"/>
      <c r="E126" s="34"/>
      <c r="F126" s="133">
        <v>2</v>
      </c>
      <c r="G126" s="105"/>
      <c r="H126" s="133">
        <v>2</v>
      </c>
    </row>
    <row r="127" spans="1:8" ht="64.5" customHeight="1" thickBot="1" x14ac:dyDescent="0.25">
      <c r="A127" s="50" t="s">
        <v>91</v>
      </c>
      <c r="B127" s="30" t="s">
        <v>144</v>
      </c>
      <c r="C127" s="310" t="s">
        <v>100</v>
      </c>
      <c r="D127" s="311"/>
      <c r="E127" s="34"/>
      <c r="F127" s="133" t="s">
        <v>425</v>
      </c>
      <c r="G127" s="105"/>
      <c r="H127" s="133" t="s">
        <v>425</v>
      </c>
    </row>
    <row r="128" spans="1:8" ht="64.5" customHeight="1" thickBot="1" x14ac:dyDescent="0.25">
      <c r="A128" s="50" t="s">
        <v>92</v>
      </c>
      <c r="B128" s="30" t="s">
        <v>145</v>
      </c>
      <c r="C128" s="298"/>
      <c r="D128" s="299"/>
      <c r="E128" s="35"/>
      <c r="F128" s="133"/>
      <c r="G128" s="232"/>
      <c r="H128" s="133"/>
    </row>
  </sheetData>
  <sheetProtection algorithmName="SHA-512" hashValue="VQOHbk1tH2KECkUfRLWwn083+A5z7BcufItk58ktlLnFGYgBx8gD4h2WqFRNFDDAfr8zObRkpW6zXZpjj59aGw==" saltValue="tIq8cfn8pkY7zkCBKDJOSA==" spinCount="100000" sheet="1" objects="1" scenarios="1"/>
  <dataConsolidate/>
  <mergeCells count="143">
    <mergeCell ref="C128:D128"/>
    <mergeCell ref="A77:D77"/>
    <mergeCell ref="C99:D99"/>
    <mergeCell ref="C120:D120"/>
    <mergeCell ref="C121:D121"/>
    <mergeCell ref="C122:D122"/>
    <mergeCell ref="A123:A124"/>
    <mergeCell ref="B123:B124"/>
    <mergeCell ref="C123:D123"/>
    <mergeCell ref="C124:D124"/>
    <mergeCell ref="C115:D115"/>
    <mergeCell ref="C116:D116"/>
    <mergeCell ref="C117:D117"/>
    <mergeCell ref="C125:D125"/>
    <mergeCell ref="C126:D126"/>
    <mergeCell ref="C127:D127"/>
    <mergeCell ref="A118:A119"/>
    <mergeCell ref="B118:B119"/>
    <mergeCell ref="C118:D118"/>
    <mergeCell ref="C119:D119"/>
    <mergeCell ref="C107:D107"/>
    <mergeCell ref="A108:A115"/>
    <mergeCell ref="B108:B115"/>
    <mergeCell ref="C108:D108"/>
    <mergeCell ref="C110:D110"/>
    <mergeCell ref="C111:D111"/>
    <mergeCell ref="C112:D112"/>
    <mergeCell ref="C113:D113"/>
    <mergeCell ref="C114:D114"/>
    <mergeCell ref="C98:D98"/>
    <mergeCell ref="C100:D100"/>
    <mergeCell ref="C101:D101"/>
    <mergeCell ref="C102:D102"/>
    <mergeCell ref="C103:D103"/>
    <mergeCell ref="C109:D109"/>
    <mergeCell ref="A91:D91"/>
    <mergeCell ref="A92:D92"/>
    <mergeCell ref="A104:A107"/>
    <mergeCell ref="B104:B107"/>
    <mergeCell ref="C104:D104"/>
    <mergeCell ref="C105:D105"/>
    <mergeCell ref="C106:D106"/>
    <mergeCell ref="A93:D93"/>
    <mergeCell ref="A95:D95"/>
    <mergeCell ref="A97:D97"/>
    <mergeCell ref="A94:D94"/>
    <mergeCell ref="A82:D82"/>
    <mergeCell ref="A83:D83"/>
    <mergeCell ref="A84:D84"/>
    <mergeCell ref="A85:D85"/>
    <mergeCell ref="A86:D86"/>
    <mergeCell ref="A87:D87"/>
    <mergeCell ref="A88:D88"/>
    <mergeCell ref="A89:D89"/>
    <mergeCell ref="A90:D90"/>
    <mergeCell ref="A78:D78"/>
    <mergeCell ref="A79:D79"/>
    <mergeCell ref="A80:D80"/>
    <mergeCell ref="C70:D70"/>
    <mergeCell ref="C71:D71"/>
    <mergeCell ref="C72:D72"/>
    <mergeCell ref="C73:D73"/>
    <mergeCell ref="A75:D75"/>
    <mergeCell ref="A81:D81"/>
    <mergeCell ref="C62:D62"/>
    <mergeCell ref="C63:D63"/>
    <mergeCell ref="C64:D64"/>
    <mergeCell ref="C65:D65"/>
    <mergeCell ref="C66:D66"/>
    <mergeCell ref="C67:D67"/>
    <mergeCell ref="C68:D68"/>
    <mergeCell ref="C69:D69"/>
    <mergeCell ref="A76:D76"/>
    <mergeCell ref="A55:A57"/>
    <mergeCell ref="B55:B57"/>
    <mergeCell ref="C55:D55"/>
    <mergeCell ref="C56:D56"/>
    <mergeCell ref="C57:D57"/>
    <mergeCell ref="C58:D58"/>
    <mergeCell ref="C59:D59"/>
    <mergeCell ref="C60:D60"/>
    <mergeCell ref="C61:D61"/>
    <mergeCell ref="A49:A51"/>
    <mergeCell ref="B49:B51"/>
    <mergeCell ref="C49:D49"/>
    <mergeCell ref="C50:D50"/>
    <mergeCell ref="C51:D51"/>
    <mergeCell ref="C52:D52"/>
    <mergeCell ref="A53:A54"/>
    <mergeCell ref="B53:B54"/>
    <mergeCell ref="C53:D53"/>
    <mergeCell ref="C54:D54"/>
    <mergeCell ref="C40:D40"/>
    <mergeCell ref="A41:A48"/>
    <mergeCell ref="B41:B48"/>
    <mergeCell ref="C41:D41"/>
    <mergeCell ref="C42:D42"/>
    <mergeCell ref="C43:D43"/>
    <mergeCell ref="C44:D44"/>
    <mergeCell ref="C45:D45"/>
    <mergeCell ref="C46:D46"/>
    <mergeCell ref="C47:D47"/>
    <mergeCell ref="C48:D48"/>
    <mergeCell ref="C30:D30"/>
    <mergeCell ref="B23:D23"/>
    <mergeCell ref="A25:D25"/>
    <mergeCell ref="A36:A37"/>
    <mergeCell ref="B36:B37"/>
    <mergeCell ref="C36:D36"/>
    <mergeCell ref="C37:D37"/>
    <mergeCell ref="C35:D35"/>
    <mergeCell ref="C26:D26"/>
    <mergeCell ref="A38:A39"/>
    <mergeCell ref="B38:B39"/>
    <mergeCell ref="C38:D38"/>
    <mergeCell ref="C39:D39"/>
    <mergeCell ref="A31:A35"/>
    <mergeCell ref="B31:B35"/>
    <mergeCell ref="C31:D31"/>
    <mergeCell ref="C32:D32"/>
    <mergeCell ref="C33:D33"/>
    <mergeCell ref="C34:D34"/>
    <mergeCell ref="B17:D17"/>
    <mergeCell ref="B21:D21"/>
    <mergeCell ref="B22:D22"/>
    <mergeCell ref="A19:D19"/>
    <mergeCell ref="C27:D27"/>
    <mergeCell ref="A28:A29"/>
    <mergeCell ref="B28:B29"/>
    <mergeCell ref="C28:D28"/>
    <mergeCell ref="C29:D29"/>
    <mergeCell ref="B14:D14"/>
    <mergeCell ref="B15:D15"/>
    <mergeCell ref="B16:D16"/>
    <mergeCell ref="B8:D8"/>
    <mergeCell ref="B9:D9"/>
    <mergeCell ref="B10:D10"/>
    <mergeCell ref="B11:D11"/>
    <mergeCell ref="A3:D3"/>
    <mergeCell ref="A4:D4"/>
    <mergeCell ref="A6:D6"/>
    <mergeCell ref="B12:D12"/>
    <mergeCell ref="B13:D13"/>
  </mergeCells>
  <conditionalFormatting sqref="C52 C60">
    <cfRule type="expression" dxfId="209" priority="43">
      <formula>#REF!="NO"</formula>
    </cfRule>
  </conditionalFormatting>
  <conditionalFormatting sqref="C27:H73">
    <cfRule type="expression" dxfId="208" priority="6">
      <formula>#REF!="NO"</formula>
    </cfRule>
  </conditionalFormatting>
  <conditionalFormatting sqref="C99:H128">
    <cfRule type="expression" dxfId="207" priority="1">
      <formula>#REF!="NO"</formula>
    </cfRule>
  </conditionalFormatting>
  <conditionalFormatting sqref="E77:H95">
    <cfRule type="expression" dxfId="206" priority="2">
      <formula>#REF!="NO"</formula>
    </cfRule>
  </conditionalFormatting>
  <conditionalFormatting sqref="F8:F17">
    <cfRule type="expression" dxfId="205" priority="25">
      <formula>#REF!="NO"</formula>
    </cfRule>
  </conditionalFormatting>
  <conditionalFormatting sqref="F21:F23">
    <cfRule type="expression" dxfId="204" priority="39">
      <formula>#REF!="NO"</formula>
    </cfRule>
  </conditionalFormatting>
  <conditionalFormatting sqref="H8:H17">
    <cfRule type="expression" dxfId="203" priority="9">
      <formula>#REF!="NO"</formula>
    </cfRule>
  </conditionalFormatting>
  <conditionalFormatting sqref="H21:H23">
    <cfRule type="expression" dxfId="202" priority="17">
      <formula>#REF!="NO"</formula>
    </cfRule>
  </conditionalFormatting>
  <dataValidations count="3">
    <dataValidation type="decimal" allowBlank="1" showInputMessage="1" showErrorMessage="1" error="The Additional Options NYS Discount entered must be greater than 0%, or less than or equal to 100%." sqref="F23 H23" xr:uid="{00000000-0002-0000-0100-000002000000}">
      <formula1>0.01</formula1>
      <formula2>100</formula2>
    </dataValidation>
    <dataValidation type="decimal" allowBlank="1" showInputMessage="1" showErrorMessage="1" error="Invalid Entry - Bidder must enter a value that is greater than $0" sqref="F21 H21" xr:uid="{DDA97037-C0A7-41BA-995F-96E007FCDFC0}">
      <formula1>0</formula1>
      <formula2>9E+21</formula2>
    </dataValidation>
    <dataValidation type="decimal" operator="greaterThanOrEqual" allowBlank="1" showInputMessage="1" showErrorMessage="1" error="The Pickup Allowance cannot be a negative number." sqref="F16 H16" xr:uid="{00000000-0002-0000-0100-000000000000}">
      <formula1>0</formula1>
    </dataValidation>
  </dataValidations>
  <pageMargins left="0.25" right="0.25" top="0.5" bottom="0.25" header="0.3" footer="0.3"/>
  <pageSetup scale="82" fitToHeight="0" orientation="landscape" r:id="rId1"/>
  <rowBreaks count="4" manualBreakCount="4">
    <brk id="23" max="16383" man="1"/>
    <brk id="52" max="16383" man="1"/>
    <brk id="95" max="16383" man="1"/>
    <brk id="12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84FA1-1506-4870-912D-F2515DF4DE5E}">
  <sheetPr>
    <tabColor rgb="FF7030A0"/>
    <pageSetUpPr autoPageBreaks="0" fitToPage="1"/>
  </sheetPr>
  <dimension ref="A1:J130"/>
  <sheetViews>
    <sheetView showGridLines="0" zoomScaleNormal="100" zoomScaleSheetLayoutView="100" zoomScalePageLayoutView="50" workbookViewId="0">
      <selection activeCell="A3" sqref="A3:D3"/>
    </sheetView>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6" width="20.7109375" style="106" customWidth="1"/>
    <col min="7" max="7" width="2.7109375" style="107" customWidth="1"/>
    <col min="8" max="8" width="20.7109375" style="106" customWidth="1"/>
    <col min="9" max="9" width="2.7109375" style="107" customWidth="1"/>
    <col min="10" max="10" width="20.7109375" style="107" customWidth="1"/>
    <col min="11" max="16384" width="9.140625" style="2"/>
  </cols>
  <sheetData>
    <row r="1" spans="1:10" customFormat="1" ht="15" x14ac:dyDescent="0.25">
      <c r="A1" s="235" t="str">
        <f>'A (Item 2-G)'!$A$1</f>
        <v>GROUP 40524-23254, SCHOOL BUSES (Statewide)                                                             Attachment 1 - Specifications and Pricing (Revised October 15, 2026)</v>
      </c>
      <c r="B1" s="2"/>
      <c r="C1" s="2"/>
      <c r="D1" s="2"/>
      <c r="E1" s="2"/>
      <c r="F1" s="107"/>
      <c r="G1" s="116"/>
      <c r="H1" s="116"/>
      <c r="I1" s="116"/>
      <c r="J1" s="116"/>
    </row>
    <row r="2" spans="1:10" customFormat="1" ht="15.75" thickBot="1" x14ac:dyDescent="0.3">
      <c r="A2" s="144" t="s">
        <v>395</v>
      </c>
      <c r="B2" s="26"/>
      <c r="C2" s="26"/>
      <c r="D2" s="26"/>
      <c r="F2" s="116"/>
      <c r="G2" s="116"/>
      <c r="H2" s="116"/>
      <c r="I2" s="116"/>
      <c r="J2" s="116"/>
    </row>
    <row r="3" spans="1:10" ht="24" thickBot="1" x14ac:dyDescent="0.25">
      <c r="A3" s="331" t="s">
        <v>122</v>
      </c>
      <c r="B3" s="332"/>
      <c r="C3" s="332"/>
      <c r="D3" s="333"/>
      <c r="E3" s="9"/>
      <c r="F3" s="145"/>
      <c r="G3" s="145"/>
      <c r="H3" s="145"/>
      <c r="I3" s="145"/>
    </row>
    <row r="4" spans="1:10" ht="51" customHeight="1" thickBot="1" x14ac:dyDescent="0.25">
      <c r="A4" s="273" t="s">
        <v>124</v>
      </c>
      <c r="B4" s="274"/>
      <c r="C4" s="274"/>
      <c r="D4" s="275"/>
      <c r="E4" s="9"/>
      <c r="F4" s="145"/>
      <c r="G4" s="145"/>
      <c r="H4" s="145"/>
      <c r="I4" s="145"/>
    </row>
    <row r="5" spans="1:10" s="4" customFormat="1" ht="11.25" customHeight="1" thickBot="1" x14ac:dyDescent="0.3">
      <c r="A5" s="57"/>
      <c r="B5" s="57"/>
      <c r="C5" s="57"/>
      <c r="D5" s="57"/>
      <c r="E5" s="57"/>
      <c r="F5" s="123"/>
      <c r="G5" s="114"/>
      <c r="H5" s="114"/>
      <c r="I5" s="114"/>
      <c r="J5" s="114"/>
    </row>
    <row r="6" spans="1:10" s="8" customFormat="1" ht="32.25" thickBot="1" x14ac:dyDescent="0.25">
      <c r="A6" s="276" t="s">
        <v>151</v>
      </c>
      <c r="B6" s="277"/>
      <c r="C6" s="277"/>
      <c r="D6" s="278"/>
      <c r="E6" s="36"/>
      <c r="F6" s="95" t="s">
        <v>389</v>
      </c>
      <c r="G6" s="96"/>
      <c r="H6" s="95" t="s">
        <v>450</v>
      </c>
      <c r="I6" s="96"/>
      <c r="J6" s="95" t="s">
        <v>449</v>
      </c>
    </row>
    <row r="7" spans="1:10" s="4" customFormat="1" ht="15" customHeight="1" thickBot="1" x14ac:dyDescent="0.3">
      <c r="A7" s="41" t="s">
        <v>6</v>
      </c>
      <c r="B7" s="27" t="s">
        <v>165</v>
      </c>
      <c r="C7" s="32"/>
      <c r="D7" s="40"/>
      <c r="E7" s="37"/>
      <c r="F7" s="97" t="s">
        <v>17</v>
      </c>
      <c r="G7" s="98"/>
      <c r="H7" s="97" t="s">
        <v>17</v>
      </c>
      <c r="I7" s="98"/>
      <c r="J7" s="97" t="s">
        <v>17</v>
      </c>
    </row>
    <row r="8" spans="1:10" ht="52.5" thickTop="1" thickBot="1" x14ac:dyDescent="0.25">
      <c r="A8" s="42" t="s">
        <v>9</v>
      </c>
      <c r="B8" s="267" t="s">
        <v>152</v>
      </c>
      <c r="C8" s="268"/>
      <c r="D8" s="269"/>
      <c r="E8" s="13"/>
      <c r="F8" s="207" t="s">
        <v>459</v>
      </c>
      <c r="G8" s="99"/>
      <c r="H8" s="207" t="s">
        <v>472</v>
      </c>
      <c r="I8" s="99"/>
      <c r="J8" s="207" t="s">
        <v>426</v>
      </c>
    </row>
    <row r="9" spans="1:10" s="8" customFormat="1" ht="39.6" customHeight="1" thickTop="1" thickBot="1" x14ac:dyDescent="0.25">
      <c r="A9" s="42" t="s">
        <v>136</v>
      </c>
      <c r="B9" s="267" t="s">
        <v>196</v>
      </c>
      <c r="C9" s="268"/>
      <c r="D9" s="269"/>
      <c r="E9" s="13"/>
      <c r="F9" s="207" t="s">
        <v>458</v>
      </c>
      <c r="G9" s="99"/>
      <c r="H9" s="207" t="s">
        <v>457</v>
      </c>
      <c r="I9" s="99"/>
      <c r="J9" s="207" t="s">
        <v>427</v>
      </c>
    </row>
    <row r="10" spans="1:10" ht="12.75" customHeight="1" thickTop="1" x14ac:dyDescent="0.2">
      <c r="A10" s="43" t="s">
        <v>0</v>
      </c>
      <c r="B10" s="258" t="s">
        <v>154</v>
      </c>
      <c r="C10" s="259"/>
      <c r="D10" s="260"/>
      <c r="E10" s="13"/>
      <c r="F10" s="127" t="s">
        <v>399</v>
      </c>
      <c r="G10" s="99"/>
      <c r="H10" s="127" t="s">
        <v>180</v>
      </c>
      <c r="I10" s="99"/>
      <c r="J10" s="127" t="s">
        <v>428</v>
      </c>
    </row>
    <row r="11" spans="1:10" x14ac:dyDescent="0.2">
      <c r="A11" s="43" t="s">
        <v>1</v>
      </c>
      <c r="B11" s="258" t="s">
        <v>153</v>
      </c>
      <c r="C11" s="259"/>
      <c r="D11" s="260"/>
      <c r="E11" s="13"/>
      <c r="F11" s="127">
        <v>3500</v>
      </c>
      <c r="G11" s="99"/>
      <c r="H11" s="127" t="s">
        <v>473</v>
      </c>
      <c r="I11" s="99"/>
      <c r="J11" s="127" t="s">
        <v>429</v>
      </c>
    </row>
    <row r="12" spans="1:10" ht="15.6" customHeight="1" thickBot="1" x14ac:dyDescent="0.25">
      <c r="A12" s="44" t="s">
        <v>2</v>
      </c>
      <c r="B12" s="261" t="s">
        <v>155</v>
      </c>
      <c r="C12" s="262"/>
      <c r="D12" s="263"/>
      <c r="E12" s="13"/>
      <c r="F12" s="128" t="s">
        <v>393</v>
      </c>
      <c r="G12" s="99"/>
      <c r="H12" s="128" t="s">
        <v>181</v>
      </c>
      <c r="I12" s="99"/>
      <c r="J12" s="128" t="s">
        <v>430</v>
      </c>
    </row>
    <row r="13" spans="1:10" ht="13.5" thickTop="1" x14ac:dyDescent="0.2">
      <c r="A13" s="43" t="s">
        <v>3</v>
      </c>
      <c r="B13" s="258" t="s">
        <v>157</v>
      </c>
      <c r="C13" s="259"/>
      <c r="D13" s="260"/>
      <c r="E13" s="13"/>
      <c r="F13" s="127" t="s">
        <v>400</v>
      </c>
      <c r="G13" s="99"/>
      <c r="H13" s="127" t="s">
        <v>400</v>
      </c>
      <c r="I13" s="99"/>
      <c r="J13" s="127" t="s">
        <v>400</v>
      </c>
    </row>
    <row r="14" spans="1:10" x14ac:dyDescent="0.2">
      <c r="A14" s="43" t="s">
        <v>4</v>
      </c>
      <c r="B14" s="258" t="s">
        <v>156</v>
      </c>
      <c r="C14" s="259"/>
      <c r="D14" s="260"/>
      <c r="E14" s="13"/>
      <c r="F14" s="127" t="s">
        <v>456</v>
      </c>
      <c r="G14" s="99"/>
      <c r="H14" s="127" t="s">
        <v>456</v>
      </c>
      <c r="I14" s="99"/>
      <c r="J14" s="127" t="s">
        <v>431</v>
      </c>
    </row>
    <row r="15" spans="1:10" ht="15.75" customHeight="1" thickBot="1" x14ac:dyDescent="0.25">
      <c r="A15" s="45" t="s">
        <v>5</v>
      </c>
      <c r="B15" s="261" t="s">
        <v>158</v>
      </c>
      <c r="C15" s="262"/>
      <c r="D15" s="263"/>
      <c r="E15" s="13"/>
      <c r="F15" s="129" t="s">
        <v>455</v>
      </c>
      <c r="G15" s="99"/>
      <c r="H15" s="129" t="s">
        <v>454</v>
      </c>
      <c r="I15" s="99"/>
      <c r="J15" s="129" t="s">
        <v>432</v>
      </c>
    </row>
    <row r="16" spans="1:10" ht="29.25" customHeight="1" thickTop="1" x14ac:dyDescent="0.2">
      <c r="A16" s="43" t="s">
        <v>101</v>
      </c>
      <c r="B16" s="264" t="s">
        <v>160</v>
      </c>
      <c r="C16" s="265"/>
      <c r="D16" s="266"/>
      <c r="E16" s="13"/>
      <c r="F16" s="130">
        <v>0</v>
      </c>
      <c r="G16" s="99"/>
      <c r="H16" s="130">
        <v>0</v>
      </c>
      <c r="I16" s="99"/>
      <c r="J16" s="130">
        <v>0</v>
      </c>
    </row>
    <row r="17" spans="1:10" ht="30.75" customHeight="1" thickBot="1" x14ac:dyDescent="0.25">
      <c r="A17" s="45" t="s">
        <v>43</v>
      </c>
      <c r="B17" s="261" t="s">
        <v>159</v>
      </c>
      <c r="C17" s="262"/>
      <c r="D17" s="263"/>
      <c r="E17" s="13"/>
      <c r="F17" s="129" t="s">
        <v>402</v>
      </c>
      <c r="G17" s="99"/>
      <c r="H17" s="129" t="s">
        <v>402</v>
      </c>
      <c r="I17" s="99"/>
      <c r="J17" s="129" t="s">
        <v>402</v>
      </c>
    </row>
    <row r="18" spans="1:10" s="10" customFormat="1" ht="14.25" thickTop="1" thickBot="1" x14ac:dyDescent="0.25">
      <c r="C18" s="11"/>
      <c r="D18" s="11"/>
      <c r="E18" s="11"/>
      <c r="F18" s="100"/>
      <c r="G18" s="100"/>
      <c r="H18" s="100"/>
      <c r="I18" s="100"/>
      <c r="J18" s="108"/>
    </row>
    <row r="19" spans="1:10" s="12" customFormat="1" ht="32.25" thickBot="1" x14ac:dyDescent="0.25">
      <c r="A19" s="276" t="s">
        <v>150</v>
      </c>
      <c r="B19" s="277"/>
      <c r="C19" s="277"/>
      <c r="D19" s="278"/>
      <c r="E19" s="36"/>
      <c r="F19" s="95" t="s">
        <v>389</v>
      </c>
      <c r="G19" s="96"/>
      <c r="H19" s="95" t="s">
        <v>450</v>
      </c>
      <c r="I19" s="96"/>
      <c r="J19" s="95" t="s">
        <v>449</v>
      </c>
    </row>
    <row r="20" spans="1:10" s="4" customFormat="1" ht="15" customHeight="1" thickBot="1" x14ac:dyDescent="0.3">
      <c r="A20" s="55" t="s">
        <v>6</v>
      </c>
      <c r="B20" s="31" t="s">
        <v>165</v>
      </c>
      <c r="C20" s="33"/>
      <c r="D20" s="48"/>
      <c r="E20" s="37"/>
      <c r="F20" s="97" t="s">
        <v>17</v>
      </c>
      <c r="G20" s="98"/>
      <c r="H20" s="97" t="s">
        <v>17</v>
      </c>
      <c r="I20" s="98"/>
      <c r="J20" s="97" t="s">
        <v>17</v>
      </c>
    </row>
    <row r="21" spans="1:10" ht="56.25" customHeight="1" x14ac:dyDescent="0.2">
      <c r="A21" s="46" t="s">
        <v>42</v>
      </c>
      <c r="B21" s="279" t="s">
        <v>161</v>
      </c>
      <c r="C21" s="280"/>
      <c r="D21" s="281"/>
      <c r="E21" s="13"/>
      <c r="F21" s="208">
        <f>67365*('PPI Adj'!D6)</f>
        <v>78614.955000000002</v>
      </c>
      <c r="G21" s="99"/>
      <c r="H21" s="208">
        <f>71788*('PPI Adj'!D6)</f>
        <v>83776.596000000005</v>
      </c>
      <c r="I21" s="99"/>
      <c r="J21" s="208">
        <f>73446*('PPI Adj'!D6)</f>
        <v>85711.482000000004</v>
      </c>
    </row>
    <row r="22" spans="1:10" ht="42.75" customHeight="1" x14ac:dyDescent="0.2">
      <c r="A22" s="43" t="s">
        <v>20</v>
      </c>
      <c r="B22" s="258" t="s">
        <v>162</v>
      </c>
      <c r="C22" s="259"/>
      <c r="D22" s="260"/>
      <c r="E22" s="13"/>
      <c r="F22" s="231">
        <f>483*('PPI Adj'!D6)</f>
        <v>563.66100000000006</v>
      </c>
      <c r="G22" s="99"/>
      <c r="H22" s="231" t="s">
        <v>182</v>
      </c>
      <c r="I22" s="99"/>
      <c r="J22" s="231" t="s">
        <v>182</v>
      </c>
    </row>
    <row r="23" spans="1:10" ht="33" customHeight="1" thickBot="1" x14ac:dyDescent="0.25">
      <c r="A23" s="47" t="s">
        <v>41</v>
      </c>
      <c r="B23" s="300" t="s">
        <v>163</v>
      </c>
      <c r="C23" s="301"/>
      <c r="D23" s="302"/>
      <c r="E23" s="1"/>
      <c r="F23" s="214">
        <v>5</v>
      </c>
      <c r="G23" s="101"/>
      <c r="H23" s="214">
        <v>5</v>
      </c>
      <c r="I23" s="101"/>
      <c r="J23" s="214">
        <v>5</v>
      </c>
    </row>
    <row r="24" spans="1:10" ht="13.5" thickBot="1" x14ac:dyDescent="0.25">
      <c r="A24" s="58"/>
      <c r="B24" s="1"/>
      <c r="C24" s="1"/>
      <c r="D24" s="1"/>
      <c r="E24" s="1"/>
      <c r="F24" s="102"/>
      <c r="G24" s="101"/>
      <c r="H24" s="102"/>
      <c r="I24" s="101"/>
    </row>
    <row r="25" spans="1:10" s="8" customFormat="1" ht="32.25" thickBot="1" x14ac:dyDescent="0.25">
      <c r="A25" s="303" t="s">
        <v>164</v>
      </c>
      <c r="B25" s="304"/>
      <c r="C25" s="304"/>
      <c r="D25" s="305"/>
      <c r="E25" s="38"/>
      <c r="F25" s="95" t="s">
        <v>389</v>
      </c>
      <c r="G25" s="103"/>
      <c r="H25" s="95" t="s">
        <v>450</v>
      </c>
      <c r="I25" s="103"/>
      <c r="J25" s="95" t="s">
        <v>449</v>
      </c>
    </row>
    <row r="26" spans="1:10" s="3" customFormat="1" ht="15" customHeight="1" thickBot="1" x14ac:dyDescent="0.3">
      <c r="A26" s="55" t="s">
        <v>6</v>
      </c>
      <c r="B26" s="56" t="s">
        <v>7</v>
      </c>
      <c r="C26" s="306" t="s">
        <v>165</v>
      </c>
      <c r="D26" s="307"/>
      <c r="E26" s="39"/>
      <c r="F26" s="97" t="s">
        <v>17</v>
      </c>
      <c r="G26" s="104"/>
      <c r="H26" s="97" t="s">
        <v>17</v>
      </c>
      <c r="I26" s="104"/>
      <c r="J26" s="97" t="s">
        <v>17</v>
      </c>
    </row>
    <row r="27" spans="1:10" s="13" customFormat="1" ht="39.6" customHeight="1" thickBot="1" x14ac:dyDescent="0.3">
      <c r="A27" s="49" t="s">
        <v>8</v>
      </c>
      <c r="B27" s="29" t="s">
        <v>131</v>
      </c>
      <c r="C27" s="282" t="s">
        <v>118</v>
      </c>
      <c r="D27" s="283"/>
      <c r="E27" s="34"/>
      <c r="F27" s="133">
        <v>12300</v>
      </c>
      <c r="G27" s="105"/>
      <c r="H27" s="133">
        <v>11500</v>
      </c>
      <c r="I27" s="105"/>
      <c r="J27" s="135">
        <v>10360</v>
      </c>
    </row>
    <row r="28" spans="1:10" s="13" customFormat="1" x14ac:dyDescent="0.25">
      <c r="A28" s="284" t="s">
        <v>21</v>
      </c>
      <c r="B28" s="286" t="s">
        <v>125</v>
      </c>
      <c r="C28" s="288" t="s">
        <v>67</v>
      </c>
      <c r="D28" s="289"/>
      <c r="E28" s="34"/>
      <c r="F28" s="134">
        <v>4</v>
      </c>
      <c r="G28" s="105"/>
      <c r="H28" s="134">
        <v>4</v>
      </c>
      <c r="I28" s="105"/>
      <c r="J28" s="134">
        <v>4</v>
      </c>
    </row>
    <row r="29" spans="1:10" s="13" customFormat="1" ht="14.45" customHeight="1" thickBot="1" x14ac:dyDescent="0.3">
      <c r="A29" s="285"/>
      <c r="B29" s="287"/>
      <c r="C29" s="282" t="s">
        <v>68</v>
      </c>
      <c r="D29" s="283"/>
      <c r="E29" s="34"/>
      <c r="F29" s="135" t="s">
        <v>460</v>
      </c>
      <c r="G29" s="105"/>
      <c r="H29" s="135" t="s">
        <v>460</v>
      </c>
      <c r="I29" s="105"/>
      <c r="J29" s="135">
        <v>20</v>
      </c>
    </row>
    <row r="30" spans="1:10" s="13" customFormat="1" ht="13.5" thickBot="1" x14ac:dyDescent="0.3">
      <c r="A30" s="50" t="s">
        <v>123</v>
      </c>
      <c r="B30" s="30" t="s">
        <v>108</v>
      </c>
      <c r="C30" s="298"/>
      <c r="D30" s="299"/>
      <c r="E30" s="35"/>
      <c r="F30" s="133"/>
      <c r="G30" s="232"/>
      <c r="H30" s="133"/>
      <c r="I30" s="232"/>
      <c r="J30" s="133"/>
    </row>
    <row r="31" spans="1:10" s="13" customFormat="1" x14ac:dyDescent="0.25">
      <c r="A31" s="284" t="s">
        <v>59</v>
      </c>
      <c r="B31" s="286"/>
      <c r="C31" s="288" t="s">
        <v>58</v>
      </c>
      <c r="D31" s="289"/>
      <c r="E31" s="34"/>
      <c r="F31" s="134">
        <v>139</v>
      </c>
      <c r="G31" s="105"/>
      <c r="H31" s="134">
        <v>138</v>
      </c>
      <c r="I31" s="105"/>
      <c r="J31" s="134">
        <v>156</v>
      </c>
    </row>
    <row r="32" spans="1:10" s="13" customFormat="1" x14ac:dyDescent="0.25">
      <c r="A32" s="292"/>
      <c r="B32" s="293"/>
      <c r="C32" s="294" t="s">
        <v>57</v>
      </c>
      <c r="D32" s="295"/>
      <c r="E32" s="34"/>
      <c r="F32" s="127">
        <v>241</v>
      </c>
      <c r="G32" s="105"/>
      <c r="H32" s="127">
        <v>254</v>
      </c>
      <c r="I32" s="105"/>
      <c r="J32" s="127">
        <v>239</v>
      </c>
    </row>
    <row r="33" spans="1:10" s="13" customFormat="1" x14ac:dyDescent="0.25">
      <c r="A33" s="292"/>
      <c r="B33" s="293"/>
      <c r="C33" s="294" t="s">
        <v>69</v>
      </c>
      <c r="D33" s="295"/>
      <c r="E33" s="34"/>
      <c r="F33" s="127">
        <v>90</v>
      </c>
      <c r="G33" s="105"/>
      <c r="H33" s="127">
        <v>90</v>
      </c>
      <c r="I33" s="105"/>
      <c r="J33" s="127">
        <v>80</v>
      </c>
    </row>
    <row r="34" spans="1:10" s="13" customFormat="1" x14ac:dyDescent="0.25">
      <c r="A34" s="292"/>
      <c r="B34" s="293"/>
      <c r="C34" s="296" t="s">
        <v>70</v>
      </c>
      <c r="D34" s="297"/>
      <c r="E34" s="34"/>
      <c r="F34" s="127">
        <v>75</v>
      </c>
      <c r="G34" s="105"/>
      <c r="H34" s="127">
        <v>75</v>
      </c>
      <c r="I34" s="105"/>
      <c r="J34" s="127">
        <v>74</v>
      </c>
    </row>
    <row r="35" spans="1:10" s="13" customFormat="1" ht="13.5" thickBot="1" x14ac:dyDescent="0.3">
      <c r="A35" s="285"/>
      <c r="B35" s="287"/>
      <c r="C35" s="282" t="s">
        <v>111</v>
      </c>
      <c r="D35" s="283"/>
      <c r="E35" s="34"/>
      <c r="F35" s="135">
        <v>178</v>
      </c>
      <c r="G35" s="105"/>
      <c r="H35" s="135">
        <v>173</v>
      </c>
      <c r="I35" s="105"/>
      <c r="J35" s="135">
        <v>196</v>
      </c>
    </row>
    <row r="36" spans="1:10" s="13" customFormat="1" x14ac:dyDescent="0.25">
      <c r="A36" s="284" t="s">
        <v>11</v>
      </c>
      <c r="B36" s="286"/>
      <c r="C36" s="288" t="s">
        <v>24</v>
      </c>
      <c r="D36" s="289"/>
      <c r="E36" s="34"/>
      <c r="F36" s="134">
        <v>4300</v>
      </c>
      <c r="G36" s="105"/>
      <c r="H36" s="134">
        <v>4200</v>
      </c>
      <c r="I36" s="105"/>
      <c r="J36" s="134">
        <v>4130</v>
      </c>
    </row>
    <row r="37" spans="1:10" s="13" customFormat="1" ht="13.5" thickBot="1" x14ac:dyDescent="0.3">
      <c r="A37" s="285"/>
      <c r="B37" s="287"/>
      <c r="C37" s="282" t="s">
        <v>22</v>
      </c>
      <c r="D37" s="283"/>
      <c r="E37" s="34"/>
      <c r="F37" s="135">
        <v>4300</v>
      </c>
      <c r="G37" s="105"/>
      <c r="H37" s="135">
        <v>4200</v>
      </c>
      <c r="I37" s="105"/>
      <c r="J37" s="135">
        <v>4130</v>
      </c>
    </row>
    <row r="38" spans="1:10" s="13" customFormat="1" ht="13.5" customHeight="1" x14ac:dyDescent="0.25">
      <c r="A38" s="284" t="s">
        <v>16</v>
      </c>
      <c r="B38" s="286"/>
      <c r="C38" s="288" t="s">
        <v>24</v>
      </c>
      <c r="D38" s="289"/>
      <c r="E38" s="34"/>
      <c r="F38" s="134">
        <v>8600</v>
      </c>
      <c r="G38" s="105"/>
      <c r="H38" s="134">
        <v>7800</v>
      </c>
      <c r="I38" s="105"/>
      <c r="J38" s="134">
        <v>7275</v>
      </c>
    </row>
    <row r="39" spans="1:10" s="13" customFormat="1" ht="15.95" customHeight="1" thickBot="1" x14ac:dyDescent="0.3">
      <c r="A39" s="285"/>
      <c r="B39" s="287"/>
      <c r="C39" s="290" t="s">
        <v>23</v>
      </c>
      <c r="D39" s="291"/>
      <c r="E39" s="34"/>
      <c r="F39" s="135">
        <v>8600</v>
      </c>
      <c r="G39" s="105"/>
      <c r="H39" s="135">
        <v>7800</v>
      </c>
      <c r="I39" s="105"/>
      <c r="J39" s="135">
        <v>7275</v>
      </c>
    </row>
    <row r="40" spans="1:10" s="13" customFormat="1" ht="18.600000000000001" customHeight="1" thickBot="1" x14ac:dyDescent="0.3">
      <c r="A40" s="50" t="s">
        <v>52</v>
      </c>
      <c r="B40" s="30" t="s">
        <v>53</v>
      </c>
      <c r="C40" s="298"/>
      <c r="D40" s="299"/>
      <c r="E40" s="35"/>
      <c r="F40" s="133"/>
      <c r="G40" s="232"/>
      <c r="H40" s="133"/>
      <c r="I40" s="232"/>
      <c r="J40" s="133"/>
    </row>
    <row r="41" spans="1:10" s="13" customFormat="1" ht="13.5" customHeight="1" thickBot="1" x14ac:dyDescent="0.3">
      <c r="A41" s="308" t="s">
        <v>12</v>
      </c>
      <c r="B41" s="309" t="s">
        <v>142</v>
      </c>
      <c r="C41" s="288" t="s">
        <v>174</v>
      </c>
      <c r="D41" s="289"/>
      <c r="E41" s="34"/>
      <c r="F41" s="134" t="s">
        <v>452</v>
      </c>
      <c r="G41" s="105"/>
      <c r="H41" s="134" t="s">
        <v>474</v>
      </c>
      <c r="I41" s="105"/>
      <c r="J41" s="134" t="s">
        <v>483</v>
      </c>
    </row>
    <row r="42" spans="1:10" s="13" customFormat="1" ht="13.5" customHeight="1" thickBot="1" x14ac:dyDescent="0.3">
      <c r="A42" s="308"/>
      <c r="B42" s="309"/>
      <c r="C42" s="294" t="s">
        <v>175</v>
      </c>
      <c r="D42" s="295"/>
      <c r="E42" s="34"/>
      <c r="F42" s="127" t="s">
        <v>461</v>
      </c>
      <c r="G42" s="105"/>
      <c r="H42" s="127" t="s">
        <v>461</v>
      </c>
      <c r="I42" s="105"/>
      <c r="J42" s="127" t="s">
        <v>453</v>
      </c>
    </row>
    <row r="43" spans="1:10" s="13" customFormat="1" ht="13.5" customHeight="1" thickBot="1" x14ac:dyDescent="0.3">
      <c r="A43" s="308"/>
      <c r="B43" s="309"/>
      <c r="C43" s="294" t="s">
        <v>176</v>
      </c>
      <c r="D43" s="295"/>
      <c r="E43" s="34"/>
      <c r="F43" s="126" t="s">
        <v>452</v>
      </c>
      <c r="G43" s="105"/>
      <c r="H43" s="126" t="s">
        <v>474</v>
      </c>
      <c r="I43" s="105"/>
      <c r="J43" s="126" t="s">
        <v>483</v>
      </c>
    </row>
    <row r="44" spans="1:10" s="13" customFormat="1" ht="13.5" customHeight="1" thickBot="1" x14ac:dyDescent="0.3">
      <c r="A44" s="308"/>
      <c r="B44" s="309"/>
      <c r="C44" s="294" t="s">
        <v>177</v>
      </c>
      <c r="D44" s="295"/>
      <c r="E44" s="34"/>
      <c r="F44" s="127" t="s">
        <v>462</v>
      </c>
      <c r="G44" s="105"/>
      <c r="H44" s="127" t="s">
        <v>462</v>
      </c>
      <c r="I44" s="105"/>
      <c r="J44" s="127" t="s">
        <v>451</v>
      </c>
    </row>
    <row r="45" spans="1:10" s="13" customFormat="1" ht="13.5" customHeight="1" thickBot="1" x14ac:dyDescent="0.3">
      <c r="A45" s="308"/>
      <c r="B45" s="309"/>
      <c r="C45" s="294" t="s">
        <v>112</v>
      </c>
      <c r="D45" s="295"/>
      <c r="E45" s="34"/>
      <c r="F45" s="127" t="s">
        <v>463</v>
      </c>
      <c r="G45" s="105"/>
      <c r="H45" s="127" t="s">
        <v>475</v>
      </c>
      <c r="I45" s="105"/>
      <c r="J45" s="127" t="s">
        <v>187</v>
      </c>
    </row>
    <row r="46" spans="1:10" s="13" customFormat="1" ht="13.5" thickBot="1" x14ac:dyDescent="0.3">
      <c r="A46" s="308"/>
      <c r="B46" s="309"/>
      <c r="C46" s="294" t="s">
        <v>113</v>
      </c>
      <c r="D46" s="295"/>
      <c r="E46" s="34"/>
      <c r="F46" s="127" t="s">
        <v>184</v>
      </c>
      <c r="G46" s="105"/>
      <c r="H46" s="127" t="s">
        <v>476</v>
      </c>
      <c r="I46" s="105"/>
      <c r="J46" s="127" t="s">
        <v>484</v>
      </c>
    </row>
    <row r="47" spans="1:10" s="13" customFormat="1" ht="13.5" customHeight="1" thickBot="1" x14ac:dyDescent="0.3">
      <c r="A47" s="308"/>
      <c r="B47" s="309"/>
      <c r="C47" s="296" t="s">
        <v>114</v>
      </c>
      <c r="D47" s="297"/>
      <c r="E47" s="34"/>
      <c r="F47" s="127" t="s">
        <v>464</v>
      </c>
      <c r="G47" s="105"/>
      <c r="H47" s="127" t="s">
        <v>475</v>
      </c>
      <c r="I47" s="105"/>
      <c r="J47" s="127" t="s">
        <v>187</v>
      </c>
    </row>
    <row r="48" spans="1:10" s="13" customFormat="1" ht="13.5" thickBot="1" x14ac:dyDescent="0.3">
      <c r="A48" s="308"/>
      <c r="B48" s="309"/>
      <c r="C48" s="282" t="s">
        <v>115</v>
      </c>
      <c r="D48" s="283"/>
      <c r="E48" s="34"/>
      <c r="F48" s="135" t="s">
        <v>184</v>
      </c>
      <c r="G48" s="105"/>
      <c r="H48" s="135" t="s">
        <v>477</v>
      </c>
      <c r="I48" s="105"/>
      <c r="J48" s="135" t="s">
        <v>484</v>
      </c>
    </row>
    <row r="49" spans="1:10" s="13" customFormat="1" x14ac:dyDescent="0.25">
      <c r="A49" s="284" t="s">
        <v>10</v>
      </c>
      <c r="B49" s="286" t="s">
        <v>62</v>
      </c>
      <c r="C49" s="288" t="s">
        <v>116</v>
      </c>
      <c r="D49" s="289"/>
      <c r="E49" s="34"/>
      <c r="F49" s="134" t="s">
        <v>465</v>
      </c>
      <c r="G49" s="105"/>
      <c r="H49" s="134" t="s">
        <v>465</v>
      </c>
      <c r="I49" s="105"/>
      <c r="J49" s="134" t="s">
        <v>439</v>
      </c>
    </row>
    <row r="50" spans="1:10" s="13" customFormat="1" x14ac:dyDescent="0.25">
      <c r="A50" s="292"/>
      <c r="B50" s="293"/>
      <c r="C50" s="294" t="s">
        <v>117</v>
      </c>
      <c r="D50" s="295"/>
      <c r="E50" s="34"/>
      <c r="F50" s="127" t="s">
        <v>390</v>
      </c>
      <c r="G50" s="105"/>
      <c r="H50" s="127" t="s">
        <v>390</v>
      </c>
      <c r="I50" s="105"/>
      <c r="J50" s="127" t="s">
        <v>390</v>
      </c>
    </row>
    <row r="51" spans="1:10" s="13" customFormat="1" ht="13.5" thickBot="1" x14ac:dyDescent="0.3">
      <c r="A51" s="292"/>
      <c r="B51" s="293"/>
      <c r="C51" s="290" t="s">
        <v>71</v>
      </c>
      <c r="D51" s="291"/>
      <c r="E51" s="34"/>
      <c r="F51" s="136" t="s">
        <v>466</v>
      </c>
      <c r="G51" s="105"/>
      <c r="H51" s="136" t="s">
        <v>478</v>
      </c>
      <c r="I51" s="105"/>
      <c r="J51" s="136" t="s">
        <v>440</v>
      </c>
    </row>
    <row r="52" spans="1:10" s="13" customFormat="1" ht="78" customHeight="1" thickBot="1" x14ac:dyDescent="0.3">
      <c r="A52" s="51" t="s">
        <v>9</v>
      </c>
      <c r="B52" s="28" t="s">
        <v>140</v>
      </c>
      <c r="C52" s="296"/>
      <c r="D52" s="297"/>
      <c r="E52" s="34"/>
      <c r="F52" s="134"/>
      <c r="G52" s="105"/>
      <c r="H52" s="134"/>
      <c r="I52" s="105"/>
      <c r="J52" s="134"/>
    </row>
    <row r="53" spans="1:10" s="13" customFormat="1" x14ac:dyDescent="0.25">
      <c r="A53" s="284" t="s">
        <v>25</v>
      </c>
      <c r="B53" s="286" t="s">
        <v>93</v>
      </c>
      <c r="C53" s="288" t="s">
        <v>72</v>
      </c>
      <c r="D53" s="289"/>
      <c r="E53" s="34"/>
      <c r="F53" s="134" t="s">
        <v>408</v>
      </c>
      <c r="G53" s="105"/>
      <c r="H53" s="134" t="s">
        <v>479</v>
      </c>
      <c r="I53" s="105"/>
      <c r="J53" s="134" t="s">
        <v>441</v>
      </c>
    </row>
    <row r="54" spans="1:10" s="13" customFormat="1" ht="78.75" customHeight="1" thickBot="1" x14ac:dyDescent="0.3">
      <c r="A54" s="285"/>
      <c r="B54" s="287"/>
      <c r="C54" s="282" t="s">
        <v>73</v>
      </c>
      <c r="D54" s="283"/>
      <c r="E54" s="34"/>
      <c r="F54" s="135">
        <v>220</v>
      </c>
      <c r="G54" s="105"/>
      <c r="H54" s="135">
        <v>220</v>
      </c>
      <c r="I54" s="105"/>
      <c r="J54" s="135">
        <v>250</v>
      </c>
    </row>
    <row r="55" spans="1:10" s="13" customFormat="1" x14ac:dyDescent="0.25">
      <c r="A55" s="284" t="s">
        <v>26</v>
      </c>
      <c r="B55" s="286"/>
      <c r="C55" s="288" t="s">
        <v>74</v>
      </c>
      <c r="D55" s="289"/>
      <c r="E55" s="34"/>
      <c r="F55" s="134" t="s">
        <v>409</v>
      </c>
      <c r="G55" s="105"/>
      <c r="H55" s="134">
        <v>634</v>
      </c>
      <c r="I55" s="105"/>
      <c r="J55" s="134" t="s">
        <v>442</v>
      </c>
    </row>
    <row r="56" spans="1:10" s="13" customFormat="1" x14ac:dyDescent="0.25">
      <c r="A56" s="292"/>
      <c r="B56" s="293"/>
      <c r="C56" s="294" t="s">
        <v>75</v>
      </c>
      <c r="D56" s="295"/>
      <c r="E56" s="34"/>
      <c r="F56" s="127">
        <v>2</v>
      </c>
      <c r="G56" s="105"/>
      <c r="H56" s="127">
        <v>2</v>
      </c>
      <c r="I56" s="105"/>
      <c r="J56" s="127">
        <v>2</v>
      </c>
    </row>
    <row r="57" spans="1:10" s="13" customFormat="1" ht="13.5" thickBot="1" x14ac:dyDescent="0.3">
      <c r="A57" s="285"/>
      <c r="B57" s="287"/>
      <c r="C57" s="282" t="s">
        <v>76</v>
      </c>
      <c r="D57" s="283"/>
      <c r="E57" s="34"/>
      <c r="F57" s="135">
        <v>770</v>
      </c>
      <c r="G57" s="105"/>
      <c r="H57" s="135">
        <v>760</v>
      </c>
      <c r="I57" s="105"/>
      <c r="J57" s="135" t="s">
        <v>443</v>
      </c>
    </row>
    <row r="58" spans="1:10" s="13" customFormat="1" ht="17.100000000000001" customHeight="1" thickBot="1" x14ac:dyDescent="0.3">
      <c r="A58" s="50" t="s">
        <v>44</v>
      </c>
      <c r="B58" s="30" t="s">
        <v>45</v>
      </c>
      <c r="C58" s="298"/>
      <c r="D58" s="299"/>
      <c r="E58" s="35"/>
      <c r="F58" s="137"/>
      <c r="G58" s="232"/>
      <c r="H58" s="137"/>
      <c r="I58" s="232"/>
      <c r="J58" s="137"/>
    </row>
    <row r="59" spans="1:10" s="13" customFormat="1" ht="30.95" customHeight="1" thickBot="1" x14ac:dyDescent="0.3">
      <c r="A59" s="50" t="s">
        <v>44</v>
      </c>
      <c r="B59" s="30" t="s">
        <v>63</v>
      </c>
      <c r="C59" s="298"/>
      <c r="D59" s="299"/>
      <c r="E59" s="35"/>
      <c r="F59" s="137"/>
      <c r="G59" s="232"/>
      <c r="H59" s="137"/>
      <c r="I59" s="232"/>
      <c r="J59" s="137"/>
    </row>
    <row r="60" spans="1:10" s="13" customFormat="1" ht="27.95" customHeight="1" thickBot="1" x14ac:dyDescent="0.3">
      <c r="A60" s="50" t="s">
        <v>44</v>
      </c>
      <c r="B60" s="30" t="s">
        <v>64</v>
      </c>
      <c r="C60" s="298"/>
      <c r="D60" s="299"/>
      <c r="E60" s="35"/>
      <c r="F60" s="137"/>
      <c r="G60" s="232"/>
      <c r="H60" s="137"/>
      <c r="I60" s="232"/>
      <c r="J60" s="137"/>
    </row>
    <row r="61" spans="1:10" s="13" customFormat="1" ht="17.100000000000001" customHeight="1" thickBot="1" x14ac:dyDescent="0.3">
      <c r="A61" s="50" t="s">
        <v>50</v>
      </c>
      <c r="B61" s="30" t="s">
        <v>65</v>
      </c>
      <c r="C61" s="298"/>
      <c r="D61" s="299"/>
      <c r="E61" s="35"/>
      <c r="F61" s="137"/>
      <c r="G61" s="232"/>
      <c r="H61" s="137"/>
      <c r="I61" s="232"/>
      <c r="J61" s="137"/>
    </row>
    <row r="62" spans="1:10" s="13" customFormat="1" ht="13.5" thickBot="1" x14ac:dyDescent="0.3">
      <c r="A62" s="50" t="s">
        <v>27</v>
      </c>
      <c r="B62" s="30"/>
      <c r="C62" s="310" t="s">
        <v>77</v>
      </c>
      <c r="D62" s="311"/>
      <c r="E62" s="34"/>
      <c r="F62" s="133" t="s">
        <v>410</v>
      </c>
      <c r="G62" s="105"/>
      <c r="H62" s="133" t="s">
        <v>410</v>
      </c>
      <c r="I62" s="105"/>
      <c r="J62" s="133" t="s">
        <v>410</v>
      </c>
    </row>
    <row r="63" spans="1:10" s="13" customFormat="1" ht="42" customHeight="1" thickBot="1" x14ac:dyDescent="0.3">
      <c r="A63" s="50" t="s">
        <v>28</v>
      </c>
      <c r="B63" s="30" t="s">
        <v>147</v>
      </c>
      <c r="C63" s="310" t="s">
        <v>78</v>
      </c>
      <c r="D63" s="311"/>
      <c r="E63" s="34"/>
      <c r="F63" s="133">
        <v>32</v>
      </c>
      <c r="G63" s="105"/>
      <c r="H63" s="133">
        <v>40</v>
      </c>
      <c r="I63" s="105"/>
      <c r="J63" s="133">
        <v>25</v>
      </c>
    </row>
    <row r="64" spans="1:10" s="13" customFormat="1" ht="41.1" customHeight="1" thickBot="1" x14ac:dyDescent="0.3">
      <c r="A64" s="50" t="s">
        <v>51</v>
      </c>
      <c r="B64" s="30" t="s">
        <v>79</v>
      </c>
      <c r="C64" s="298"/>
      <c r="D64" s="299"/>
      <c r="E64" s="35"/>
      <c r="F64" s="133"/>
      <c r="G64" s="232"/>
      <c r="H64" s="133"/>
      <c r="I64" s="232"/>
      <c r="J64" s="133"/>
    </row>
    <row r="65" spans="1:10" s="13" customFormat="1" ht="40.5" customHeight="1" thickBot="1" x14ac:dyDescent="0.3">
      <c r="A65" s="50" t="s">
        <v>54</v>
      </c>
      <c r="B65" s="30" t="s">
        <v>80</v>
      </c>
      <c r="C65" s="298"/>
      <c r="D65" s="299"/>
      <c r="E65" s="35"/>
      <c r="F65" s="133"/>
      <c r="G65" s="232"/>
      <c r="H65" s="133"/>
      <c r="I65" s="232"/>
      <c r="J65" s="133"/>
    </row>
    <row r="66" spans="1:10" s="13" customFormat="1" ht="78" customHeight="1" thickBot="1" x14ac:dyDescent="0.3">
      <c r="A66" s="50" t="s">
        <v>29</v>
      </c>
      <c r="B66" s="30" t="s">
        <v>132</v>
      </c>
      <c r="C66" s="298"/>
      <c r="D66" s="299"/>
      <c r="E66" s="35"/>
      <c r="F66" s="133"/>
      <c r="G66" s="232"/>
      <c r="H66" s="133"/>
      <c r="I66" s="232"/>
      <c r="J66" s="133"/>
    </row>
    <row r="67" spans="1:10" s="13" customFormat="1" ht="51" customHeight="1" thickBot="1" x14ac:dyDescent="0.3">
      <c r="A67" s="50" t="s">
        <v>31</v>
      </c>
      <c r="B67" s="30" t="s">
        <v>94</v>
      </c>
      <c r="C67" s="310" t="s">
        <v>30</v>
      </c>
      <c r="D67" s="311"/>
      <c r="E67" s="34"/>
      <c r="F67" s="133" t="s">
        <v>411</v>
      </c>
      <c r="G67" s="105"/>
      <c r="H67" s="133" t="s">
        <v>411</v>
      </c>
      <c r="I67" s="105"/>
      <c r="J67" s="133" t="s">
        <v>411</v>
      </c>
    </row>
    <row r="68" spans="1:10" s="13" customFormat="1" ht="28.5" customHeight="1" thickBot="1" x14ac:dyDescent="0.3">
      <c r="A68" s="50" t="s">
        <v>55</v>
      </c>
      <c r="B68" s="30" t="s">
        <v>95</v>
      </c>
      <c r="C68" s="298"/>
      <c r="D68" s="299"/>
      <c r="E68" s="35"/>
      <c r="F68" s="133"/>
      <c r="G68" s="232"/>
      <c r="H68" s="133"/>
      <c r="I68" s="232"/>
      <c r="J68" s="133"/>
    </row>
    <row r="69" spans="1:10" s="13" customFormat="1" ht="39.75" customHeight="1" thickBot="1" x14ac:dyDescent="0.3">
      <c r="A69" s="50" t="s">
        <v>32</v>
      </c>
      <c r="B69" s="30" t="s">
        <v>96</v>
      </c>
      <c r="C69" s="310" t="s">
        <v>30</v>
      </c>
      <c r="D69" s="311"/>
      <c r="E69" s="34"/>
      <c r="F69" s="133" t="s">
        <v>412</v>
      </c>
      <c r="G69" s="105"/>
      <c r="H69" s="133" t="s">
        <v>412</v>
      </c>
      <c r="I69" s="105"/>
      <c r="J69" s="133" t="s">
        <v>412</v>
      </c>
    </row>
    <row r="70" spans="1:10" s="13" customFormat="1" ht="42.6" customHeight="1" thickBot="1" x14ac:dyDescent="0.3">
      <c r="A70" s="50" t="s">
        <v>56</v>
      </c>
      <c r="B70" s="30" t="s">
        <v>167</v>
      </c>
      <c r="C70" s="298"/>
      <c r="D70" s="299"/>
      <c r="E70" s="35"/>
      <c r="F70" s="133"/>
      <c r="G70" s="232"/>
      <c r="H70" s="133"/>
      <c r="I70" s="232"/>
      <c r="J70" s="133"/>
    </row>
    <row r="71" spans="1:10" s="13" customFormat="1" ht="30.95" customHeight="1" thickBot="1" x14ac:dyDescent="0.3">
      <c r="A71" s="50" t="s">
        <v>48</v>
      </c>
      <c r="B71" s="30" t="s">
        <v>47</v>
      </c>
      <c r="C71" s="298"/>
      <c r="D71" s="299"/>
      <c r="E71" s="35"/>
      <c r="F71" s="133"/>
      <c r="G71" s="232"/>
      <c r="H71" s="133"/>
      <c r="I71" s="232"/>
      <c r="J71" s="133"/>
    </row>
    <row r="72" spans="1:10" s="13" customFormat="1" ht="30.6" customHeight="1" thickBot="1" x14ac:dyDescent="0.3">
      <c r="A72" s="50" t="s">
        <v>49</v>
      </c>
      <c r="B72" s="30" t="s">
        <v>103</v>
      </c>
      <c r="C72" s="298"/>
      <c r="D72" s="299"/>
      <c r="E72" s="35"/>
      <c r="F72" s="133"/>
      <c r="G72" s="232"/>
      <c r="H72" s="133"/>
      <c r="I72" s="232"/>
      <c r="J72" s="133"/>
    </row>
    <row r="73" spans="1:10" s="13" customFormat="1" ht="26.25" thickBot="1" x14ac:dyDescent="0.3">
      <c r="A73" s="50" t="s">
        <v>46</v>
      </c>
      <c r="B73" s="30" t="s">
        <v>81</v>
      </c>
      <c r="C73" s="298"/>
      <c r="D73" s="299"/>
      <c r="E73" s="35"/>
      <c r="F73" s="133"/>
      <c r="G73" s="232"/>
      <c r="H73" s="133"/>
      <c r="I73" s="232"/>
      <c r="J73" s="133"/>
    </row>
    <row r="74" spans="1:10" ht="13.5" thickBot="1" x14ac:dyDescent="0.25"/>
    <row r="75" spans="1:10" s="17" customFormat="1" ht="32.25" thickBot="1" x14ac:dyDescent="0.3">
      <c r="A75" s="303" t="s">
        <v>168</v>
      </c>
      <c r="B75" s="304"/>
      <c r="C75" s="304"/>
      <c r="D75" s="305"/>
      <c r="E75" s="38"/>
      <c r="F75" s="95" t="s">
        <v>389</v>
      </c>
      <c r="G75" s="109"/>
      <c r="H75" s="95" t="s">
        <v>450</v>
      </c>
      <c r="I75" s="109"/>
      <c r="J75" s="95" t="s">
        <v>449</v>
      </c>
    </row>
    <row r="76" spans="1:10" s="3" customFormat="1" ht="15" customHeight="1" thickBot="1" x14ac:dyDescent="0.3">
      <c r="A76" s="312" t="s">
        <v>169</v>
      </c>
      <c r="B76" s="313"/>
      <c r="C76" s="313"/>
      <c r="D76" s="314"/>
      <c r="E76" s="39"/>
      <c r="F76" s="97" t="s">
        <v>17</v>
      </c>
      <c r="G76" s="110"/>
      <c r="H76" s="97" t="s">
        <v>17</v>
      </c>
      <c r="I76" s="110"/>
      <c r="J76" s="97" t="s">
        <v>17</v>
      </c>
    </row>
    <row r="77" spans="1:10" s="13" customFormat="1" x14ac:dyDescent="0.25">
      <c r="A77" s="315" t="s">
        <v>82</v>
      </c>
      <c r="B77" s="316"/>
      <c r="C77" s="316"/>
      <c r="D77" s="317"/>
      <c r="E77" s="35"/>
      <c r="F77" s="233">
        <f>1610*('PPI Adj'!D6)</f>
        <v>1878.8700000000001</v>
      </c>
      <c r="G77" s="105"/>
      <c r="H77" s="233" t="s">
        <v>182</v>
      </c>
      <c r="I77" s="105"/>
      <c r="J77" s="138" t="s">
        <v>182</v>
      </c>
    </row>
    <row r="78" spans="1:10" s="13" customFormat="1" x14ac:dyDescent="0.25">
      <c r="A78" s="315" t="s">
        <v>83</v>
      </c>
      <c r="B78" s="316"/>
      <c r="C78" s="316"/>
      <c r="D78" s="317"/>
      <c r="E78" s="35"/>
      <c r="F78" s="138">
        <f>-1137*('PPI Adj'!D6)</f>
        <v>-1326.8790000000001</v>
      </c>
      <c r="G78" s="105"/>
      <c r="H78" s="138">
        <f>-1178*('PPI Adj'!D6)</f>
        <v>-1374.7260000000001</v>
      </c>
      <c r="I78" s="105"/>
      <c r="J78" s="138">
        <f>-1122*('PPI Adj'!D6)</f>
        <v>-1309.374</v>
      </c>
    </row>
    <row r="79" spans="1:10" s="13" customFormat="1" x14ac:dyDescent="0.25">
      <c r="A79" s="318" t="s">
        <v>34</v>
      </c>
      <c r="B79" s="319"/>
      <c r="C79" s="319"/>
      <c r="D79" s="320"/>
      <c r="E79" s="34"/>
      <c r="F79" s="139">
        <f>379.4*('PPI Adj'!D6)</f>
        <v>442.75979999999998</v>
      </c>
      <c r="G79" s="105"/>
      <c r="H79" s="139">
        <f>379.4*('PPI Adj'!D6)</f>
        <v>442.75979999999998</v>
      </c>
      <c r="I79" s="105"/>
      <c r="J79" s="139">
        <f>379.4*('PPI Adj'!D6)</f>
        <v>442.75979999999998</v>
      </c>
    </row>
    <row r="80" spans="1:10" s="13" customFormat="1" x14ac:dyDescent="0.25">
      <c r="A80" s="318" t="s">
        <v>35</v>
      </c>
      <c r="B80" s="319"/>
      <c r="C80" s="319"/>
      <c r="D80" s="320"/>
      <c r="E80" s="35"/>
      <c r="F80" s="139" t="s">
        <v>188</v>
      </c>
      <c r="G80" s="105"/>
      <c r="H80" s="139" t="s">
        <v>188</v>
      </c>
      <c r="I80" s="105"/>
      <c r="J80" s="139" t="s">
        <v>188</v>
      </c>
    </row>
    <row r="81" spans="1:10" s="13" customFormat="1" x14ac:dyDescent="0.25">
      <c r="A81" s="318" t="s">
        <v>36</v>
      </c>
      <c r="B81" s="319"/>
      <c r="C81" s="319"/>
      <c r="D81" s="320"/>
      <c r="E81" s="34"/>
      <c r="F81" s="139">
        <f>413*('PPI Adj'!D6)</f>
        <v>481.971</v>
      </c>
      <c r="G81" s="105"/>
      <c r="H81" s="139">
        <f>343*('PPI Adj'!D6)</f>
        <v>400.28100000000001</v>
      </c>
      <c r="I81" s="105"/>
      <c r="J81" s="139">
        <f>414.4*('PPI Adj'!D6)</f>
        <v>483.60480000000001</v>
      </c>
    </row>
    <row r="82" spans="1:10" s="13" customFormat="1" x14ac:dyDescent="0.25">
      <c r="A82" s="318" t="s">
        <v>60</v>
      </c>
      <c r="B82" s="319"/>
      <c r="C82" s="319"/>
      <c r="D82" s="320"/>
      <c r="E82" s="34"/>
      <c r="F82" s="139">
        <f>1918*('PPI Adj'!D6)</f>
        <v>2238.306</v>
      </c>
      <c r="G82" s="105"/>
      <c r="H82" s="139">
        <f>1918*('PPI Adj'!D6)</f>
        <v>2238.306</v>
      </c>
      <c r="I82" s="105"/>
      <c r="J82" s="139">
        <f>1895.6*('PPI Adj'!D6)</f>
        <v>2212.1651999999999</v>
      </c>
    </row>
    <row r="83" spans="1:10" s="13" customFormat="1" x14ac:dyDescent="0.25">
      <c r="A83" s="318" t="s">
        <v>61</v>
      </c>
      <c r="B83" s="319"/>
      <c r="C83" s="319"/>
      <c r="D83" s="320"/>
      <c r="E83" s="34"/>
      <c r="F83" s="139" t="s">
        <v>188</v>
      </c>
      <c r="G83" s="105"/>
      <c r="H83" s="139" t="s">
        <v>188</v>
      </c>
      <c r="I83" s="105"/>
      <c r="J83" s="139" t="s">
        <v>188</v>
      </c>
    </row>
    <row r="84" spans="1:10" s="13" customFormat="1" x14ac:dyDescent="0.25">
      <c r="A84" s="318" t="s">
        <v>86</v>
      </c>
      <c r="B84" s="319"/>
      <c r="C84" s="319"/>
      <c r="D84" s="320"/>
      <c r="E84" s="34"/>
      <c r="F84" s="139">
        <f>1083.6*('PPI Adj'!D6)</f>
        <v>1264.5611999999999</v>
      </c>
      <c r="G84" s="105"/>
      <c r="H84" s="139">
        <f>1083.6*('PPI Adj'!D6)</f>
        <v>1264.5611999999999</v>
      </c>
      <c r="I84" s="105"/>
      <c r="J84" s="139">
        <v>0</v>
      </c>
    </row>
    <row r="85" spans="1:10" x14ac:dyDescent="0.2">
      <c r="A85" s="318" t="s">
        <v>85</v>
      </c>
      <c r="B85" s="319"/>
      <c r="C85" s="319"/>
      <c r="D85" s="320"/>
      <c r="E85" s="34"/>
      <c r="F85" s="139">
        <f>4527.6*('PPI Adj'!D6)</f>
        <v>5283.7092000000002</v>
      </c>
      <c r="G85" s="106"/>
      <c r="H85" s="139">
        <f>4046*('PPI Adj'!D6)</f>
        <v>4721.6819999999998</v>
      </c>
      <c r="I85" s="106"/>
      <c r="J85" s="139" t="s">
        <v>182</v>
      </c>
    </row>
    <row r="86" spans="1:10" x14ac:dyDescent="0.2">
      <c r="A86" s="318" t="s">
        <v>13</v>
      </c>
      <c r="B86" s="319"/>
      <c r="C86" s="319"/>
      <c r="D86" s="320"/>
      <c r="E86" s="34"/>
      <c r="F86" s="139">
        <f>6498.8*('PPI Adj'!D6)</f>
        <v>7584.0996000000005</v>
      </c>
      <c r="G86" s="106"/>
      <c r="H86" s="139">
        <f>6498.8*('PPI Adj'!D6)</f>
        <v>7584.0996000000005</v>
      </c>
      <c r="I86" s="106"/>
      <c r="J86" s="139">
        <v>0</v>
      </c>
    </row>
    <row r="87" spans="1:10" x14ac:dyDescent="0.2">
      <c r="A87" s="318" t="s">
        <v>37</v>
      </c>
      <c r="B87" s="319"/>
      <c r="C87" s="319"/>
      <c r="D87" s="320"/>
      <c r="E87" s="35"/>
      <c r="F87" s="139">
        <f>544.6*('PPI Adj'!D6)</f>
        <v>635.54820000000007</v>
      </c>
      <c r="G87" s="106"/>
      <c r="H87" s="139">
        <f>644.6*('PPI Adj'!D6)</f>
        <v>752.2482</v>
      </c>
      <c r="I87" s="106"/>
      <c r="J87" s="139">
        <f>544.6*('PPI Adj'!D6)</f>
        <v>635.54820000000007</v>
      </c>
    </row>
    <row r="88" spans="1:10" x14ac:dyDescent="0.2">
      <c r="A88" s="318" t="s">
        <v>38</v>
      </c>
      <c r="B88" s="319"/>
      <c r="C88" s="319"/>
      <c r="D88" s="320"/>
      <c r="E88" s="35"/>
      <c r="F88" s="139">
        <f>111.6*('PPI Adj'!D6)</f>
        <v>130.2372</v>
      </c>
      <c r="G88" s="106"/>
      <c r="H88" s="139">
        <f>1111.6*('PPI Adj'!D6)</f>
        <v>1297.2372</v>
      </c>
      <c r="I88" s="106"/>
      <c r="J88" s="139">
        <f>1111.6*('PPI Adj'!D6)</f>
        <v>1297.2372</v>
      </c>
    </row>
    <row r="89" spans="1:10" x14ac:dyDescent="0.2">
      <c r="A89" s="318" t="s">
        <v>39</v>
      </c>
      <c r="B89" s="319"/>
      <c r="C89" s="319"/>
      <c r="D89" s="320"/>
      <c r="E89" s="34"/>
      <c r="F89" s="139">
        <f>616*('PPI Adj'!D6)</f>
        <v>718.87200000000007</v>
      </c>
      <c r="G89" s="106"/>
      <c r="H89" s="139">
        <f>616*('PPI Adj'!D6)</f>
        <v>718.87200000000007</v>
      </c>
      <c r="I89" s="106"/>
      <c r="J89" s="139">
        <f>616*('PPI Adj'!D6)</f>
        <v>718.87200000000007</v>
      </c>
    </row>
    <row r="90" spans="1:10" x14ac:dyDescent="0.2">
      <c r="A90" s="318" t="s">
        <v>90</v>
      </c>
      <c r="B90" s="319"/>
      <c r="C90" s="319"/>
      <c r="D90" s="320"/>
      <c r="E90" s="35"/>
      <c r="F90" s="139">
        <v>0</v>
      </c>
      <c r="G90" s="106"/>
      <c r="H90" s="139">
        <v>0</v>
      </c>
      <c r="I90" s="106"/>
      <c r="J90" s="139">
        <v>0</v>
      </c>
    </row>
    <row r="91" spans="1:10" x14ac:dyDescent="0.2">
      <c r="A91" s="318" t="s">
        <v>88</v>
      </c>
      <c r="B91" s="319"/>
      <c r="C91" s="319"/>
      <c r="D91" s="320"/>
      <c r="E91" s="34"/>
      <c r="F91" s="139" t="s">
        <v>182</v>
      </c>
      <c r="G91" s="106"/>
      <c r="H91" s="139" t="s">
        <v>182</v>
      </c>
      <c r="I91" s="106"/>
      <c r="J91" s="139" t="s">
        <v>182</v>
      </c>
    </row>
    <row r="92" spans="1:10" x14ac:dyDescent="0.2">
      <c r="A92" s="318" t="s">
        <v>40</v>
      </c>
      <c r="B92" s="319"/>
      <c r="C92" s="319"/>
      <c r="D92" s="320"/>
      <c r="E92" s="34"/>
      <c r="F92" s="139">
        <f>329*('PPI Adj'!D6)</f>
        <v>383.94300000000004</v>
      </c>
      <c r="G92" s="106"/>
      <c r="H92" s="139">
        <f>329*('PPI Adj'!D6)</f>
        <v>383.94300000000004</v>
      </c>
      <c r="I92" s="106"/>
      <c r="J92" s="139">
        <f>329*('PPI Adj'!D6)</f>
        <v>383.94300000000004</v>
      </c>
    </row>
    <row r="93" spans="1:10" x14ac:dyDescent="0.2">
      <c r="A93" s="318" t="s">
        <v>14</v>
      </c>
      <c r="B93" s="319"/>
      <c r="C93" s="319"/>
      <c r="D93" s="320"/>
      <c r="E93" s="34"/>
      <c r="F93" s="139">
        <f>3977*('PPI Adj'!D6)</f>
        <v>4641.1590000000006</v>
      </c>
      <c r="G93" s="106"/>
      <c r="H93" s="139">
        <f>4012*('PPI Adj'!D6)</f>
        <v>4682.0039999999999</v>
      </c>
      <c r="I93" s="106"/>
      <c r="J93" s="139">
        <f>3924*('PPI Adj'!D6)</f>
        <v>4579.308</v>
      </c>
    </row>
    <row r="94" spans="1:10" x14ac:dyDescent="0.2">
      <c r="A94" s="318" t="s">
        <v>91</v>
      </c>
      <c r="B94" s="319"/>
      <c r="C94" s="319"/>
      <c r="D94" s="320"/>
      <c r="E94" s="34"/>
      <c r="F94" s="139">
        <f>3055*('PPI Adj'!D6)</f>
        <v>3565.1849999999999</v>
      </c>
      <c r="G94" s="106"/>
      <c r="H94" s="139">
        <f>3055*('PPI Adj'!D6)</f>
        <v>3565.1849999999999</v>
      </c>
      <c r="I94" s="106"/>
      <c r="J94" s="139">
        <f>3055*('PPI Adj'!D6)</f>
        <v>3565.1849999999999</v>
      </c>
    </row>
    <row r="95" spans="1:10" x14ac:dyDescent="0.2">
      <c r="A95" s="324" t="s">
        <v>324</v>
      </c>
      <c r="B95" s="325"/>
      <c r="C95" s="325"/>
      <c r="D95" s="326"/>
      <c r="E95" s="34"/>
      <c r="F95" s="222">
        <v>0</v>
      </c>
      <c r="G95" s="106"/>
      <c r="H95" s="222">
        <v>0</v>
      </c>
      <c r="I95" s="106"/>
      <c r="J95" s="222">
        <v>0</v>
      </c>
    </row>
    <row r="96" spans="1:10" ht="13.5" thickBot="1" x14ac:dyDescent="0.25">
      <c r="A96" s="321" t="s">
        <v>92</v>
      </c>
      <c r="B96" s="322"/>
      <c r="C96" s="322"/>
      <c r="D96" s="323"/>
      <c r="E96" s="35"/>
      <c r="F96" s="140">
        <f>-929*('PPI Adj'!D6)</f>
        <v>-1084.143</v>
      </c>
      <c r="G96" s="106"/>
      <c r="H96" s="140">
        <f>-929*('PPI Adj'!D6)</f>
        <v>-1084.143</v>
      </c>
      <c r="I96" s="106"/>
      <c r="J96" s="140">
        <f>-509*('PPI Adj'!D6)</f>
        <v>-594.00300000000004</v>
      </c>
    </row>
    <row r="97" spans="1:10" ht="13.5" thickBot="1" x14ac:dyDescent="0.25"/>
    <row r="98" spans="1:10" s="17" customFormat="1" ht="32.25" thickBot="1" x14ac:dyDescent="0.3">
      <c r="A98" s="303" t="s">
        <v>166</v>
      </c>
      <c r="B98" s="304"/>
      <c r="C98" s="304"/>
      <c r="D98" s="305"/>
      <c r="E98" s="38"/>
      <c r="F98" s="95" t="s">
        <v>389</v>
      </c>
      <c r="G98" s="109"/>
      <c r="H98" s="95" t="s">
        <v>450</v>
      </c>
      <c r="I98" s="109"/>
      <c r="J98" s="95" t="s">
        <v>449</v>
      </c>
    </row>
    <row r="99" spans="1:10" s="3" customFormat="1" ht="15" customHeight="1" thickBot="1" x14ac:dyDescent="0.3">
      <c r="A99" s="52" t="s">
        <v>33</v>
      </c>
      <c r="B99" s="24" t="s">
        <v>7</v>
      </c>
      <c r="C99" s="327" t="s">
        <v>165</v>
      </c>
      <c r="D99" s="328"/>
      <c r="E99" s="39"/>
      <c r="F99" s="97" t="s">
        <v>17</v>
      </c>
      <c r="G99" s="110"/>
      <c r="H99" s="97" t="s">
        <v>17</v>
      </c>
      <c r="I99" s="110"/>
      <c r="J99" s="97" t="s">
        <v>17</v>
      </c>
    </row>
    <row r="100" spans="1:10" s="13" customFormat="1" ht="29.45" customHeight="1" thickBot="1" x14ac:dyDescent="0.3">
      <c r="A100" s="53" t="s">
        <v>82</v>
      </c>
      <c r="B100" s="16" t="s">
        <v>130</v>
      </c>
      <c r="C100" s="329"/>
      <c r="D100" s="330"/>
      <c r="E100" s="35"/>
      <c r="F100" s="133"/>
      <c r="G100" s="99"/>
      <c r="H100" s="133" t="s">
        <v>182</v>
      </c>
      <c r="I100" s="99"/>
      <c r="J100" s="135" t="s">
        <v>182</v>
      </c>
    </row>
    <row r="101" spans="1:10" s="13" customFormat="1" ht="42" customHeight="1" thickBot="1" x14ac:dyDescent="0.3">
      <c r="A101" s="53" t="s">
        <v>83</v>
      </c>
      <c r="B101" s="23" t="s">
        <v>146</v>
      </c>
      <c r="C101" s="329"/>
      <c r="D101" s="330"/>
      <c r="E101" s="35"/>
      <c r="F101" s="133"/>
      <c r="G101" s="99"/>
      <c r="H101" s="133"/>
      <c r="I101" s="99"/>
      <c r="J101" s="133"/>
    </row>
    <row r="102" spans="1:10" s="13" customFormat="1" ht="27" customHeight="1" thickBot="1" x14ac:dyDescent="0.3">
      <c r="A102" s="50" t="s">
        <v>34</v>
      </c>
      <c r="B102" s="30" t="s">
        <v>107</v>
      </c>
      <c r="C102" s="310" t="s">
        <v>30</v>
      </c>
      <c r="D102" s="311"/>
      <c r="E102" s="34"/>
      <c r="F102" s="133" t="s">
        <v>413</v>
      </c>
      <c r="G102" s="99"/>
      <c r="H102" s="133" t="s">
        <v>413</v>
      </c>
      <c r="I102" s="99"/>
      <c r="J102" s="133" t="s">
        <v>413</v>
      </c>
    </row>
    <row r="103" spans="1:10" s="13" customFormat="1" ht="53.45" customHeight="1" thickBot="1" x14ac:dyDescent="0.3">
      <c r="A103" s="50" t="s">
        <v>35</v>
      </c>
      <c r="B103" s="30" t="s">
        <v>97</v>
      </c>
      <c r="C103" s="298"/>
      <c r="D103" s="299"/>
      <c r="E103" s="35"/>
      <c r="F103" s="134" t="s">
        <v>188</v>
      </c>
      <c r="G103" s="99"/>
      <c r="H103" s="134" t="s">
        <v>188</v>
      </c>
      <c r="I103" s="99"/>
      <c r="J103" s="134" t="s">
        <v>188</v>
      </c>
    </row>
    <row r="104" spans="1:10" s="13" customFormat="1" ht="32.1" customHeight="1" thickBot="1" x14ac:dyDescent="0.3">
      <c r="A104" s="50" t="s">
        <v>36</v>
      </c>
      <c r="B104" s="30" t="s">
        <v>84</v>
      </c>
      <c r="C104" s="310" t="s">
        <v>99</v>
      </c>
      <c r="D104" s="311"/>
      <c r="E104" s="34"/>
      <c r="F104" s="133" t="s">
        <v>467</v>
      </c>
      <c r="G104" s="99"/>
      <c r="H104" s="133" t="s">
        <v>480</v>
      </c>
      <c r="I104" s="99"/>
      <c r="J104" s="133" t="s">
        <v>444</v>
      </c>
    </row>
    <row r="105" spans="1:10" s="13" customFormat="1" ht="12.75" customHeight="1" x14ac:dyDescent="0.25">
      <c r="A105" s="284" t="s">
        <v>60</v>
      </c>
      <c r="B105" s="286" t="s">
        <v>133</v>
      </c>
      <c r="C105" s="288" t="s">
        <v>176</v>
      </c>
      <c r="D105" s="289"/>
      <c r="E105" s="34"/>
      <c r="F105" s="134" t="s">
        <v>452</v>
      </c>
      <c r="G105" s="99"/>
      <c r="H105" s="134" t="s">
        <v>452</v>
      </c>
      <c r="I105" s="99"/>
      <c r="J105" s="134" t="s">
        <v>483</v>
      </c>
    </row>
    <row r="106" spans="1:10" s="13" customFormat="1" ht="12.75" customHeight="1" x14ac:dyDescent="0.25">
      <c r="A106" s="292"/>
      <c r="B106" s="293"/>
      <c r="C106" s="294" t="s">
        <v>177</v>
      </c>
      <c r="D106" s="295"/>
      <c r="E106" s="34"/>
      <c r="F106" s="127" t="s">
        <v>462</v>
      </c>
      <c r="G106" s="99"/>
      <c r="H106" s="127" t="s">
        <v>462</v>
      </c>
      <c r="I106" s="99"/>
      <c r="J106" s="127" t="s">
        <v>485</v>
      </c>
    </row>
    <row r="107" spans="1:10" s="13" customFormat="1" ht="12.75" customHeight="1" x14ac:dyDescent="0.25">
      <c r="A107" s="292"/>
      <c r="B107" s="293"/>
      <c r="C107" s="294" t="s">
        <v>114</v>
      </c>
      <c r="D107" s="295"/>
      <c r="E107" s="34"/>
      <c r="F107" s="127" t="s">
        <v>468</v>
      </c>
      <c r="G107" s="99"/>
      <c r="H107" s="127" t="s">
        <v>468</v>
      </c>
      <c r="I107" s="99"/>
      <c r="J107" s="127" t="s">
        <v>486</v>
      </c>
    </row>
    <row r="108" spans="1:10" s="13" customFormat="1" ht="29.1" customHeight="1" thickBot="1" x14ac:dyDescent="0.3">
      <c r="A108" s="285"/>
      <c r="B108" s="287"/>
      <c r="C108" s="282" t="s">
        <v>115</v>
      </c>
      <c r="D108" s="283"/>
      <c r="E108" s="34"/>
      <c r="F108" s="135" t="s">
        <v>469</v>
      </c>
      <c r="G108" s="99"/>
      <c r="H108" s="135" t="s">
        <v>469</v>
      </c>
      <c r="I108" s="99"/>
      <c r="J108" s="135" t="s">
        <v>417</v>
      </c>
    </row>
    <row r="109" spans="1:10" s="13" customFormat="1" ht="12.75" customHeight="1" x14ac:dyDescent="0.25">
      <c r="A109" s="284" t="s">
        <v>61</v>
      </c>
      <c r="B109" s="286" t="s">
        <v>134</v>
      </c>
      <c r="C109" s="288" t="s">
        <v>174</v>
      </c>
      <c r="D109" s="289"/>
      <c r="E109" s="34"/>
      <c r="F109" s="134" t="s">
        <v>452</v>
      </c>
      <c r="G109" s="99"/>
      <c r="H109" s="134" t="s">
        <v>452</v>
      </c>
      <c r="I109" s="99"/>
      <c r="J109" s="134" t="s">
        <v>483</v>
      </c>
    </row>
    <row r="110" spans="1:10" s="13" customFormat="1" ht="12.75" customHeight="1" x14ac:dyDescent="0.25">
      <c r="A110" s="292"/>
      <c r="B110" s="293"/>
      <c r="C110" s="294" t="s">
        <v>175</v>
      </c>
      <c r="D110" s="295"/>
      <c r="E110" s="34"/>
      <c r="F110" s="126" t="s">
        <v>461</v>
      </c>
      <c r="G110" s="99"/>
      <c r="H110" s="126" t="s">
        <v>461</v>
      </c>
      <c r="I110" s="99"/>
      <c r="J110" s="126" t="s">
        <v>487</v>
      </c>
    </row>
    <row r="111" spans="1:10" s="13" customFormat="1" ht="12.75" customHeight="1" x14ac:dyDescent="0.25">
      <c r="A111" s="292"/>
      <c r="B111" s="293"/>
      <c r="C111" s="294" t="s">
        <v>176</v>
      </c>
      <c r="D111" s="295"/>
      <c r="E111" s="34"/>
      <c r="F111" s="126" t="s">
        <v>452</v>
      </c>
      <c r="G111" s="99"/>
      <c r="H111" s="126" t="s">
        <v>452</v>
      </c>
      <c r="I111" s="99"/>
      <c r="J111" s="126" t="s">
        <v>483</v>
      </c>
    </row>
    <row r="112" spans="1:10" s="13" customFormat="1" ht="12.75" customHeight="1" x14ac:dyDescent="0.25">
      <c r="A112" s="292"/>
      <c r="B112" s="293"/>
      <c r="C112" s="294" t="s">
        <v>177</v>
      </c>
      <c r="D112" s="295"/>
      <c r="E112" s="34"/>
      <c r="F112" s="127" t="s">
        <v>462</v>
      </c>
      <c r="G112" s="99"/>
      <c r="H112" s="127" t="s">
        <v>462</v>
      </c>
      <c r="I112" s="99"/>
      <c r="J112" s="127" t="s">
        <v>488</v>
      </c>
    </row>
    <row r="113" spans="1:10" s="13" customFormat="1" ht="12.75" customHeight="1" x14ac:dyDescent="0.25">
      <c r="A113" s="292"/>
      <c r="B113" s="293"/>
      <c r="C113" s="294" t="s">
        <v>112</v>
      </c>
      <c r="D113" s="295"/>
      <c r="E113" s="34"/>
      <c r="F113" s="127" t="s">
        <v>463</v>
      </c>
      <c r="G113" s="99"/>
      <c r="H113" s="127" t="s">
        <v>475</v>
      </c>
      <c r="I113" s="99"/>
      <c r="J113" s="127" t="s">
        <v>187</v>
      </c>
    </row>
    <row r="114" spans="1:10" s="13" customFormat="1" ht="12.75" customHeight="1" x14ac:dyDescent="0.25">
      <c r="A114" s="292"/>
      <c r="B114" s="293"/>
      <c r="C114" s="294" t="s">
        <v>113</v>
      </c>
      <c r="D114" s="295"/>
      <c r="E114" s="34"/>
      <c r="F114" s="126" t="s">
        <v>184</v>
      </c>
      <c r="G114" s="99"/>
      <c r="H114" s="126" t="s">
        <v>476</v>
      </c>
      <c r="I114" s="99"/>
      <c r="J114" s="126" t="s">
        <v>438</v>
      </c>
    </row>
    <row r="115" spans="1:10" s="13" customFormat="1" ht="12.75" customHeight="1" x14ac:dyDescent="0.25">
      <c r="A115" s="292"/>
      <c r="B115" s="293"/>
      <c r="C115" s="294" t="s">
        <v>114</v>
      </c>
      <c r="D115" s="295"/>
      <c r="E115" s="34"/>
      <c r="F115" s="126" t="s">
        <v>464</v>
      </c>
      <c r="G115" s="99"/>
      <c r="H115" s="126" t="s">
        <v>475</v>
      </c>
      <c r="I115" s="99"/>
      <c r="J115" s="126" t="s">
        <v>187</v>
      </c>
    </row>
    <row r="116" spans="1:10" s="13" customFormat="1" ht="15.95" customHeight="1" thickBot="1" x14ac:dyDescent="0.3">
      <c r="A116" s="285"/>
      <c r="B116" s="287"/>
      <c r="C116" s="282" t="s">
        <v>115</v>
      </c>
      <c r="D116" s="283"/>
      <c r="E116" s="34"/>
      <c r="F116" s="135" t="s">
        <v>184</v>
      </c>
      <c r="G116" s="99"/>
      <c r="H116" s="135" t="s">
        <v>476</v>
      </c>
      <c r="I116" s="99"/>
      <c r="J116" s="135" t="s">
        <v>438</v>
      </c>
    </row>
    <row r="117" spans="1:10" s="13" customFormat="1" ht="144.94999999999999" customHeight="1" thickBot="1" x14ac:dyDescent="0.3">
      <c r="A117" s="54" t="s">
        <v>86</v>
      </c>
      <c r="B117" s="18" t="s">
        <v>143</v>
      </c>
      <c r="C117" s="310" t="s">
        <v>104</v>
      </c>
      <c r="D117" s="311"/>
      <c r="E117" s="34"/>
      <c r="F117" s="134" t="s">
        <v>418</v>
      </c>
      <c r="G117" s="99"/>
      <c r="H117" s="134" t="s">
        <v>481</v>
      </c>
      <c r="I117" s="99"/>
      <c r="J117" s="134" t="s">
        <v>418</v>
      </c>
    </row>
    <row r="118" spans="1:10" ht="170.1" customHeight="1" thickBot="1" x14ac:dyDescent="0.25">
      <c r="A118" s="50" t="s">
        <v>85</v>
      </c>
      <c r="B118" s="14" t="s">
        <v>170</v>
      </c>
      <c r="C118" s="310" t="s">
        <v>104</v>
      </c>
      <c r="D118" s="311"/>
      <c r="E118" s="34"/>
      <c r="F118" s="133" t="s">
        <v>470</v>
      </c>
      <c r="H118" s="133" t="s">
        <v>482</v>
      </c>
      <c r="J118" s="133" t="s">
        <v>182</v>
      </c>
    </row>
    <row r="119" spans="1:10" ht="38.25" x14ac:dyDescent="0.2">
      <c r="A119" s="284" t="s">
        <v>13</v>
      </c>
      <c r="B119" s="286" t="s">
        <v>98</v>
      </c>
      <c r="C119" s="288" t="s">
        <v>30</v>
      </c>
      <c r="D119" s="289"/>
      <c r="E119" s="34"/>
      <c r="F119" s="134" t="s">
        <v>419</v>
      </c>
      <c r="H119" s="134" t="s">
        <v>419</v>
      </c>
      <c r="J119" s="134" t="s">
        <v>419</v>
      </c>
    </row>
    <row r="120" spans="1:10" ht="29.45" customHeight="1" thickBot="1" x14ac:dyDescent="0.25">
      <c r="A120" s="285"/>
      <c r="B120" s="287"/>
      <c r="C120" s="282" t="s">
        <v>109</v>
      </c>
      <c r="D120" s="283"/>
      <c r="E120" s="34"/>
      <c r="F120" s="135" t="s">
        <v>388</v>
      </c>
      <c r="H120" s="135" t="s">
        <v>388</v>
      </c>
      <c r="J120" s="135" t="s">
        <v>388</v>
      </c>
    </row>
    <row r="121" spans="1:10" ht="67.5" customHeight="1" thickBot="1" x14ac:dyDescent="0.25">
      <c r="A121" s="50" t="s">
        <v>37</v>
      </c>
      <c r="B121" s="30" t="s">
        <v>135</v>
      </c>
      <c r="C121" s="298"/>
      <c r="D121" s="299"/>
      <c r="E121" s="35"/>
      <c r="F121" s="133" t="s">
        <v>471</v>
      </c>
      <c r="H121" s="133" t="s">
        <v>471</v>
      </c>
      <c r="J121" s="133" t="s">
        <v>471</v>
      </c>
    </row>
    <row r="122" spans="1:10" ht="41.1" customHeight="1" thickBot="1" x14ac:dyDescent="0.25">
      <c r="A122" s="50" t="s">
        <v>38</v>
      </c>
      <c r="B122" s="30" t="s">
        <v>87</v>
      </c>
      <c r="C122" s="298"/>
      <c r="D122" s="299"/>
      <c r="E122" s="35"/>
      <c r="F122" s="133"/>
      <c r="H122" s="133"/>
      <c r="J122" s="133"/>
    </row>
    <row r="123" spans="1:10" ht="39" thickBot="1" x14ac:dyDescent="0.25">
      <c r="A123" s="50" t="s">
        <v>39</v>
      </c>
      <c r="B123" s="30" t="s">
        <v>106</v>
      </c>
      <c r="C123" s="310" t="s">
        <v>105</v>
      </c>
      <c r="D123" s="311"/>
      <c r="E123" s="34"/>
      <c r="F123" s="133" t="s">
        <v>421</v>
      </c>
      <c r="H123" s="133" t="s">
        <v>421</v>
      </c>
      <c r="J123" s="133" t="s">
        <v>421</v>
      </c>
    </row>
    <row r="124" spans="1:10" ht="40.5" customHeight="1" thickBot="1" x14ac:dyDescent="0.25">
      <c r="A124" s="50" t="s">
        <v>90</v>
      </c>
      <c r="B124" s="30" t="s">
        <v>129</v>
      </c>
      <c r="C124" s="298"/>
      <c r="D124" s="299"/>
      <c r="E124" s="35"/>
      <c r="F124" s="133" t="s">
        <v>423</v>
      </c>
      <c r="H124" s="133" t="s">
        <v>423</v>
      </c>
      <c r="J124" s="133" t="s">
        <v>423</v>
      </c>
    </row>
    <row r="125" spans="1:10" x14ac:dyDescent="0.2">
      <c r="A125" s="284" t="s">
        <v>88</v>
      </c>
      <c r="B125" s="286" t="s">
        <v>148</v>
      </c>
      <c r="C125" s="288" t="s">
        <v>100</v>
      </c>
      <c r="D125" s="289"/>
      <c r="E125" s="34"/>
      <c r="F125" s="134" t="s">
        <v>182</v>
      </c>
      <c r="H125" s="134" t="s">
        <v>182</v>
      </c>
      <c r="J125" s="134" t="s">
        <v>182</v>
      </c>
    </row>
    <row r="126" spans="1:10" ht="108" customHeight="1" thickBot="1" x14ac:dyDescent="0.25">
      <c r="A126" s="285"/>
      <c r="B126" s="287"/>
      <c r="C126" s="282" t="s">
        <v>110</v>
      </c>
      <c r="D126" s="283"/>
      <c r="E126" s="34"/>
      <c r="F126" s="221"/>
      <c r="H126" s="221"/>
      <c r="J126" s="221"/>
    </row>
    <row r="127" spans="1:10" ht="39" thickBot="1" x14ac:dyDescent="0.25">
      <c r="A127" s="50" t="s">
        <v>40</v>
      </c>
      <c r="B127" s="30" t="s">
        <v>137</v>
      </c>
      <c r="C127" s="310" t="s">
        <v>100</v>
      </c>
      <c r="D127" s="311"/>
      <c r="E127" s="34"/>
      <c r="F127" s="135" t="s">
        <v>448</v>
      </c>
      <c r="H127" s="135" t="s">
        <v>448</v>
      </c>
      <c r="J127" s="135" t="s">
        <v>448</v>
      </c>
    </row>
    <row r="128" spans="1:10" ht="53.45" customHeight="1" thickBot="1" x14ac:dyDescent="0.25">
      <c r="A128" s="50" t="s">
        <v>14</v>
      </c>
      <c r="B128" s="30" t="s">
        <v>138</v>
      </c>
      <c r="C128" s="310" t="s">
        <v>139</v>
      </c>
      <c r="D128" s="311"/>
      <c r="E128" s="34"/>
      <c r="F128" s="133">
        <v>2</v>
      </c>
      <c r="H128" s="133">
        <v>2</v>
      </c>
      <c r="J128" s="133">
        <v>2</v>
      </c>
    </row>
    <row r="129" spans="1:10" ht="67.5" customHeight="1" thickBot="1" x14ac:dyDescent="0.25">
      <c r="A129" s="50" t="s">
        <v>91</v>
      </c>
      <c r="B129" s="30" t="s">
        <v>144</v>
      </c>
      <c r="C129" s="310" t="s">
        <v>100</v>
      </c>
      <c r="D129" s="311"/>
      <c r="E129" s="34"/>
      <c r="F129" s="133" t="s">
        <v>425</v>
      </c>
      <c r="H129" s="133" t="s">
        <v>425</v>
      </c>
      <c r="J129" s="133" t="s">
        <v>425</v>
      </c>
    </row>
    <row r="130" spans="1:10" ht="69" customHeight="1" thickBot="1" x14ac:dyDescent="0.25">
      <c r="A130" s="50" t="s">
        <v>92</v>
      </c>
      <c r="B130" s="30" t="s">
        <v>145</v>
      </c>
      <c r="C130" s="298"/>
      <c r="D130" s="299"/>
      <c r="E130" s="35"/>
      <c r="F130" s="133"/>
      <c r="H130" s="133"/>
      <c r="J130" s="133"/>
    </row>
  </sheetData>
  <sheetProtection algorithmName="SHA-512" hashValue="YKpbayKhcJipcVpA/SAp2N3XVYdQhX4iumdTNzQ5R+3H6q+KX/PGHLDhaU3CC0SGtSo90oSbbhWrVTOE4FDX6w==" saltValue="JtejOZGMn2pDP0+/id/T5g==" spinCount="100000" sheet="1" objects="1" scenarios="1"/>
  <dataConsolidate/>
  <mergeCells count="145">
    <mergeCell ref="C127:D127"/>
    <mergeCell ref="C128:D128"/>
    <mergeCell ref="C129:D129"/>
    <mergeCell ref="C130:D130"/>
    <mergeCell ref="A87:D87"/>
    <mergeCell ref="C121:D121"/>
    <mergeCell ref="C122:D122"/>
    <mergeCell ref="C123:D123"/>
    <mergeCell ref="C124:D124"/>
    <mergeCell ref="A125:A126"/>
    <mergeCell ref="B125:B126"/>
    <mergeCell ref="C125:D125"/>
    <mergeCell ref="C126:D126"/>
    <mergeCell ref="C117:D117"/>
    <mergeCell ref="C118:D118"/>
    <mergeCell ref="A119:A120"/>
    <mergeCell ref="B119:B120"/>
    <mergeCell ref="C119:D119"/>
    <mergeCell ref="C120:D120"/>
    <mergeCell ref="A109:A116"/>
    <mergeCell ref="B109:B116"/>
    <mergeCell ref="C109:D109"/>
    <mergeCell ref="C110:D110"/>
    <mergeCell ref="C111:D111"/>
    <mergeCell ref="C112:D112"/>
    <mergeCell ref="C113:D113"/>
    <mergeCell ref="C114:D114"/>
    <mergeCell ref="C115:D115"/>
    <mergeCell ref="C116:D116"/>
    <mergeCell ref="C99:D99"/>
    <mergeCell ref="C100:D100"/>
    <mergeCell ref="C101:D101"/>
    <mergeCell ref="C102:D102"/>
    <mergeCell ref="C103:D103"/>
    <mergeCell ref="C104:D104"/>
    <mergeCell ref="A105:A108"/>
    <mergeCell ref="B105:B108"/>
    <mergeCell ref="C105:D105"/>
    <mergeCell ref="C106:D106"/>
    <mergeCell ref="C107:D107"/>
    <mergeCell ref="C108:D108"/>
    <mergeCell ref="A81:D81"/>
    <mergeCell ref="A82:D82"/>
    <mergeCell ref="A83:D83"/>
    <mergeCell ref="A84:D84"/>
    <mergeCell ref="A85:D85"/>
    <mergeCell ref="A93:D93"/>
    <mergeCell ref="A94:D94"/>
    <mergeCell ref="A96:D96"/>
    <mergeCell ref="A98:D98"/>
    <mergeCell ref="A86:D86"/>
    <mergeCell ref="A88:D88"/>
    <mergeCell ref="A89:D89"/>
    <mergeCell ref="A90:D90"/>
    <mergeCell ref="A91:D91"/>
    <mergeCell ref="A92:D92"/>
    <mergeCell ref="A95:D95"/>
    <mergeCell ref="A77:D77"/>
    <mergeCell ref="A78:D78"/>
    <mergeCell ref="A79:D79"/>
    <mergeCell ref="C70:D70"/>
    <mergeCell ref="C71:D71"/>
    <mergeCell ref="C72:D72"/>
    <mergeCell ref="C73:D73"/>
    <mergeCell ref="A75:D75"/>
    <mergeCell ref="A80:D80"/>
    <mergeCell ref="C62:D62"/>
    <mergeCell ref="C63:D63"/>
    <mergeCell ref="C64:D64"/>
    <mergeCell ref="C65:D65"/>
    <mergeCell ref="C66:D66"/>
    <mergeCell ref="C67:D67"/>
    <mergeCell ref="C68:D68"/>
    <mergeCell ref="C69:D69"/>
    <mergeCell ref="A76:D76"/>
    <mergeCell ref="A55:A57"/>
    <mergeCell ref="B55:B57"/>
    <mergeCell ref="C55:D55"/>
    <mergeCell ref="C56:D56"/>
    <mergeCell ref="C57:D57"/>
    <mergeCell ref="C58:D58"/>
    <mergeCell ref="C59:D59"/>
    <mergeCell ref="C60:D60"/>
    <mergeCell ref="C61:D61"/>
    <mergeCell ref="A49:A51"/>
    <mergeCell ref="B49:B51"/>
    <mergeCell ref="C49:D49"/>
    <mergeCell ref="C50:D50"/>
    <mergeCell ref="C51:D51"/>
    <mergeCell ref="C52:D52"/>
    <mergeCell ref="A53:A54"/>
    <mergeCell ref="B53:B54"/>
    <mergeCell ref="C53:D53"/>
    <mergeCell ref="C54:D54"/>
    <mergeCell ref="C40:D40"/>
    <mergeCell ref="A41:A48"/>
    <mergeCell ref="B41:B48"/>
    <mergeCell ref="C41:D41"/>
    <mergeCell ref="C42:D42"/>
    <mergeCell ref="C43:D43"/>
    <mergeCell ref="C44:D44"/>
    <mergeCell ref="C45:D45"/>
    <mergeCell ref="C46:D46"/>
    <mergeCell ref="C47:D47"/>
    <mergeCell ref="C48:D48"/>
    <mergeCell ref="A38:A39"/>
    <mergeCell ref="B38:B39"/>
    <mergeCell ref="C38:D38"/>
    <mergeCell ref="C39:D39"/>
    <mergeCell ref="A31:A35"/>
    <mergeCell ref="B31:B35"/>
    <mergeCell ref="C31:D31"/>
    <mergeCell ref="C32:D32"/>
    <mergeCell ref="C33:D33"/>
    <mergeCell ref="C34:D34"/>
    <mergeCell ref="A36:A37"/>
    <mergeCell ref="B36:B37"/>
    <mergeCell ref="C36:D36"/>
    <mergeCell ref="C37:D37"/>
    <mergeCell ref="B17:D17"/>
    <mergeCell ref="C26:D26"/>
    <mergeCell ref="C35:D35"/>
    <mergeCell ref="C27:D27"/>
    <mergeCell ref="A28:A29"/>
    <mergeCell ref="B28:B29"/>
    <mergeCell ref="C28:D28"/>
    <mergeCell ref="C29:D29"/>
    <mergeCell ref="C30:D30"/>
    <mergeCell ref="B21:D21"/>
    <mergeCell ref="B22:D22"/>
    <mergeCell ref="B23:D23"/>
    <mergeCell ref="A25:D25"/>
    <mergeCell ref="A19:D19"/>
    <mergeCell ref="A3:D3"/>
    <mergeCell ref="A4:D4"/>
    <mergeCell ref="A6:D6"/>
    <mergeCell ref="B12:D12"/>
    <mergeCell ref="B13:D13"/>
    <mergeCell ref="B14:D14"/>
    <mergeCell ref="B15:D15"/>
    <mergeCell ref="B16:D16"/>
    <mergeCell ref="B8:D8"/>
    <mergeCell ref="B9:D9"/>
    <mergeCell ref="B10:D10"/>
    <mergeCell ref="B11:D11"/>
  </mergeCells>
  <conditionalFormatting sqref="C52 C60">
    <cfRule type="expression" dxfId="201" priority="94">
      <formula>#REF!="NO"</formula>
    </cfRule>
  </conditionalFormatting>
  <conditionalFormatting sqref="C100:F130">
    <cfRule type="expression" dxfId="200" priority="7">
      <formula>#REF!="NO"</formula>
    </cfRule>
  </conditionalFormatting>
  <conditionalFormatting sqref="C27:J73">
    <cfRule type="expression" dxfId="199" priority="9">
      <formula>#REF!="NO"</formula>
    </cfRule>
  </conditionalFormatting>
  <conditionalFormatting sqref="E77:F96">
    <cfRule type="expression" dxfId="198" priority="24">
      <formula>#REF!="NO"</formula>
    </cfRule>
  </conditionalFormatting>
  <conditionalFormatting sqref="F8:F17">
    <cfRule type="expression" dxfId="197" priority="89">
      <formula>#REF!="NO"</formula>
    </cfRule>
  </conditionalFormatting>
  <conditionalFormatting sqref="F21:F23">
    <cfRule type="expression" dxfId="196" priority="90">
      <formula>#REF!="NO"</formula>
    </cfRule>
  </conditionalFormatting>
  <conditionalFormatting sqref="H8:H17">
    <cfRule type="expression" dxfId="195" priority="28">
      <formula>#REF!="NO"</formula>
    </cfRule>
  </conditionalFormatting>
  <conditionalFormatting sqref="H21:H23">
    <cfRule type="expression" dxfId="194" priority="41">
      <formula>#REF!="NO"</formula>
    </cfRule>
  </conditionalFormatting>
  <conditionalFormatting sqref="H77:H96">
    <cfRule type="expression" dxfId="193" priority="8">
      <formula>#REF!="NO"</formula>
    </cfRule>
  </conditionalFormatting>
  <conditionalFormatting sqref="H100:H130">
    <cfRule type="expression" dxfId="192" priority="3">
      <formula>#REF!="NO"</formula>
    </cfRule>
  </conditionalFormatting>
  <conditionalFormatting sqref="J8:J17">
    <cfRule type="expression" dxfId="191" priority="31">
      <formula>#REF!="NO"</formula>
    </cfRule>
  </conditionalFormatting>
  <conditionalFormatting sqref="J21:J23">
    <cfRule type="expression" dxfId="190" priority="72">
      <formula>#REF!="NO"</formula>
    </cfRule>
  </conditionalFormatting>
  <conditionalFormatting sqref="J77:J96">
    <cfRule type="expression" dxfId="189" priority="23">
      <formula>#REF!="NO"</formula>
    </cfRule>
  </conditionalFormatting>
  <conditionalFormatting sqref="J100:J130">
    <cfRule type="expression" dxfId="188" priority="5">
      <formula>#REF!="NO"</formula>
    </cfRule>
  </conditionalFormatting>
  <dataValidations count="3">
    <dataValidation type="decimal" operator="greaterThanOrEqual" allowBlank="1" showInputMessage="1" showErrorMessage="1" error="The Pickup Allowance cannot be a negative number." sqref="F16 H16 J16" xr:uid="{00000000-0002-0000-0200-000002000000}">
      <formula1>0</formula1>
    </dataValidation>
    <dataValidation type="decimal" allowBlank="1" showInputMessage="1" showErrorMessage="1" error="Invalid Entry - Bidder must enter a value that is greater than $0" sqref="F21 H21 J21" xr:uid="{00000000-0002-0000-0200-000001000000}">
      <formula1>0</formula1>
      <formula2>9E+21</formula2>
    </dataValidation>
    <dataValidation type="decimal" allowBlank="1" showInputMessage="1" showErrorMessage="1" error="The Additional Options NYS Discount entered must be greater than 0%, or less than or equal to 100%." sqref="F23 H23 J23" xr:uid="{00000000-0002-0000-0200-000000000000}">
      <formula1>0.01</formula1>
      <formula2>100</formula2>
    </dataValidation>
  </dataValidations>
  <pageMargins left="0.25" right="0.25" top="0.5" bottom="0.25" header="0.3" footer="0.3"/>
  <pageSetup scale="71" fitToHeight="0" orientation="landscape" r:id="rId1"/>
  <rowBreaks count="1" manualBreakCount="1">
    <brk id="24" max="10"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A263F-F711-4F2D-B7F3-16DF5A4A9F0E}">
  <sheetPr>
    <tabColor rgb="FFCC66FF"/>
    <pageSetUpPr autoPageBreaks="0" fitToPage="1"/>
  </sheetPr>
  <dimension ref="A1:I124"/>
  <sheetViews>
    <sheetView showGridLines="0" zoomScaleNormal="100" zoomScaleSheetLayoutView="100" workbookViewId="0">
      <selection activeCell="A3" sqref="A3:D3"/>
    </sheetView>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6" width="20.7109375" style="106" customWidth="1"/>
    <col min="7" max="7" width="2.7109375" style="107" customWidth="1"/>
    <col min="8" max="8" width="20.7109375" style="106" customWidth="1"/>
    <col min="9" max="9" width="2.7109375" style="2" customWidth="1"/>
    <col min="10" max="16384" width="9.140625" style="2"/>
  </cols>
  <sheetData>
    <row r="1" spans="1:9" customFormat="1" ht="15" x14ac:dyDescent="0.25">
      <c r="A1" s="235" t="str">
        <f>'A (Item 2-G)'!$A$1</f>
        <v>GROUP 40524-23254, SCHOOL BUSES (Statewide)                                                             Attachment 1 - Specifications and Pricing (Revised October 15, 2026)</v>
      </c>
      <c r="B1" s="2"/>
      <c r="C1" s="2"/>
      <c r="D1" s="2"/>
      <c r="E1" s="2"/>
      <c r="F1" s="107"/>
      <c r="G1" s="107"/>
      <c r="H1" s="107"/>
    </row>
    <row r="2" spans="1:9" customFormat="1" ht="15.75" thickBot="1" x14ac:dyDescent="0.3">
      <c r="A2" s="144" t="s">
        <v>373</v>
      </c>
      <c r="B2" s="26"/>
      <c r="C2" s="26"/>
      <c r="D2" s="26"/>
      <c r="F2" s="116"/>
      <c r="G2" s="116"/>
      <c r="H2" s="116"/>
    </row>
    <row r="3" spans="1:9" ht="24" thickBot="1" x14ac:dyDescent="0.25">
      <c r="A3" s="270" t="s">
        <v>512</v>
      </c>
      <c r="B3" s="271"/>
      <c r="C3" s="271"/>
      <c r="D3" s="272"/>
      <c r="E3" s="9"/>
      <c r="F3" s="145"/>
      <c r="G3" s="145"/>
      <c r="H3" s="145"/>
      <c r="I3" s="9"/>
    </row>
    <row r="4" spans="1:9" ht="44.25" customHeight="1" thickBot="1" x14ac:dyDescent="0.25">
      <c r="A4" s="273" t="s">
        <v>511</v>
      </c>
      <c r="B4" s="274"/>
      <c r="C4" s="274"/>
      <c r="D4" s="275"/>
      <c r="E4" s="9"/>
      <c r="F4" s="145"/>
      <c r="G4" s="145"/>
      <c r="H4" s="122"/>
      <c r="I4" s="9"/>
    </row>
    <row r="5" spans="1:9" s="4" customFormat="1" ht="11.25" customHeight="1" thickBot="1" x14ac:dyDescent="0.3">
      <c r="A5" s="57"/>
      <c r="B5" s="57"/>
      <c r="C5" s="57"/>
      <c r="D5" s="57"/>
      <c r="E5" s="57"/>
      <c r="F5" s="123"/>
      <c r="G5" s="123"/>
      <c r="H5" s="123"/>
    </row>
    <row r="6" spans="1:9" s="8" customFormat="1" ht="32.25" thickBot="1" x14ac:dyDescent="0.25">
      <c r="A6" s="276" t="s">
        <v>151</v>
      </c>
      <c r="B6" s="277"/>
      <c r="C6" s="277"/>
      <c r="D6" s="278"/>
      <c r="E6" s="36"/>
      <c r="F6" s="95" t="s">
        <v>450</v>
      </c>
      <c r="G6" s="96"/>
      <c r="H6" s="95" t="s">
        <v>527</v>
      </c>
      <c r="I6" s="36"/>
    </row>
    <row r="7" spans="1:9" s="4" customFormat="1" ht="15" customHeight="1" thickBot="1" x14ac:dyDescent="0.3">
      <c r="A7" s="41" t="s">
        <v>6</v>
      </c>
      <c r="B7" s="27" t="s">
        <v>165</v>
      </c>
      <c r="C7" s="32"/>
      <c r="D7" s="40"/>
      <c r="E7" s="37"/>
      <c r="F7" s="97" t="s">
        <v>189</v>
      </c>
      <c r="G7" s="98"/>
      <c r="H7" s="97" t="s">
        <v>189</v>
      </c>
      <c r="I7" s="37"/>
    </row>
    <row r="8" spans="1:9" ht="65.25" thickTop="1" thickBot="1" x14ac:dyDescent="0.25">
      <c r="A8" s="42" t="s">
        <v>190</v>
      </c>
      <c r="B8" s="267" t="s">
        <v>510</v>
      </c>
      <c r="C8" s="268"/>
      <c r="D8" s="269"/>
      <c r="E8" s="13"/>
      <c r="F8" s="207" t="s">
        <v>513</v>
      </c>
      <c r="G8" s="99"/>
      <c r="H8" s="207" t="s">
        <v>528</v>
      </c>
      <c r="I8" s="13"/>
    </row>
    <row r="9" spans="1:9" s="8" customFormat="1" ht="44.25" customHeight="1" thickTop="1" thickBot="1" x14ac:dyDescent="0.25">
      <c r="A9" s="42" t="s">
        <v>136</v>
      </c>
      <c r="B9" s="267" t="s">
        <v>196</v>
      </c>
      <c r="C9" s="268"/>
      <c r="D9" s="269"/>
      <c r="E9" s="13"/>
      <c r="F9" s="207" t="s">
        <v>509</v>
      </c>
      <c r="G9" s="99"/>
      <c r="H9" s="207" t="s">
        <v>606</v>
      </c>
      <c r="I9" s="13"/>
    </row>
    <row r="10" spans="1:9" ht="12.75" customHeight="1" thickTop="1" x14ac:dyDescent="0.2">
      <c r="A10" s="43" t="s">
        <v>0</v>
      </c>
      <c r="B10" s="258" t="s">
        <v>154</v>
      </c>
      <c r="C10" s="259"/>
      <c r="D10" s="260"/>
      <c r="E10" s="13"/>
      <c r="F10" s="127" t="s">
        <v>180</v>
      </c>
      <c r="G10" s="99"/>
      <c r="H10" s="127" t="s">
        <v>529</v>
      </c>
      <c r="I10" s="13"/>
    </row>
    <row r="11" spans="1:9" x14ac:dyDescent="0.2">
      <c r="A11" s="43" t="s">
        <v>1</v>
      </c>
      <c r="B11" s="258" t="s">
        <v>153</v>
      </c>
      <c r="C11" s="259"/>
      <c r="D11" s="260"/>
      <c r="E11" s="13"/>
      <c r="F11" s="127" t="s">
        <v>505</v>
      </c>
      <c r="G11" s="99"/>
      <c r="H11" s="127" t="s">
        <v>530</v>
      </c>
      <c r="I11" s="13"/>
    </row>
    <row r="12" spans="1:9" ht="13.5" customHeight="1" thickBot="1" x14ac:dyDescent="0.25">
      <c r="A12" s="44" t="s">
        <v>2</v>
      </c>
      <c r="B12" s="261" t="s">
        <v>155</v>
      </c>
      <c r="C12" s="262"/>
      <c r="D12" s="263"/>
      <c r="E12" s="13"/>
      <c r="F12" s="128" t="s">
        <v>506</v>
      </c>
      <c r="G12" s="99"/>
      <c r="H12" s="128" t="s">
        <v>531</v>
      </c>
      <c r="I12" s="13"/>
    </row>
    <row r="13" spans="1:9" ht="13.5" thickTop="1" x14ac:dyDescent="0.2">
      <c r="A13" s="43" t="s">
        <v>3</v>
      </c>
      <c r="B13" s="258" t="s">
        <v>157</v>
      </c>
      <c r="C13" s="259"/>
      <c r="D13" s="260"/>
      <c r="E13" s="13"/>
      <c r="F13" s="127" t="s">
        <v>400</v>
      </c>
      <c r="G13" s="99"/>
      <c r="H13" s="127" t="s">
        <v>529</v>
      </c>
      <c r="I13" s="13"/>
    </row>
    <row r="14" spans="1:9" x14ac:dyDescent="0.2">
      <c r="A14" s="43" t="s">
        <v>4</v>
      </c>
      <c r="B14" s="258" t="s">
        <v>156</v>
      </c>
      <c r="C14" s="259"/>
      <c r="D14" s="260"/>
      <c r="E14" s="13"/>
      <c r="F14" s="127" t="s">
        <v>456</v>
      </c>
      <c r="G14" s="99"/>
      <c r="H14" s="127" t="s">
        <v>530</v>
      </c>
      <c r="I14" s="13"/>
    </row>
    <row r="15" spans="1:9" ht="15.75" customHeight="1" thickBot="1" x14ac:dyDescent="0.25">
      <c r="A15" s="45" t="s">
        <v>5</v>
      </c>
      <c r="B15" s="261" t="s">
        <v>158</v>
      </c>
      <c r="C15" s="262"/>
      <c r="D15" s="263"/>
      <c r="E15" s="13"/>
      <c r="F15" s="129" t="s">
        <v>514</v>
      </c>
      <c r="G15" s="99"/>
      <c r="H15" s="129" t="s">
        <v>530</v>
      </c>
      <c r="I15" s="13"/>
    </row>
    <row r="16" spans="1:9" ht="29.25" customHeight="1" thickTop="1" x14ac:dyDescent="0.2">
      <c r="A16" s="43" t="s">
        <v>101</v>
      </c>
      <c r="B16" s="264" t="s">
        <v>160</v>
      </c>
      <c r="C16" s="265"/>
      <c r="D16" s="266"/>
      <c r="E16" s="13"/>
      <c r="F16" s="130">
        <v>0</v>
      </c>
      <c r="G16" s="99"/>
      <c r="H16" s="130">
        <v>0</v>
      </c>
      <c r="I16" s="13"/>
    </row>
    <row r="17" spans="1:9" ht="30.75" customHeight="1" thickBot="1" x14ac:dyDescent="0.25">
      <c r="A17" s="45" t="s">
        <v>43</v>
      </c>
      <c r="B17" s="261" t="s">
        <v>159</v>
      </c>
      <c r="C17" s="262"/>
      <c r="D17" s="263"/>
      <c r="E17" s="13"/>
      <c r="F17" s="129" t="s">
        <v>515</v>
      </c>
      <c r="G17" s="99"/>
      <c r="H17" s="129" t="s">
        <v>402</v>
      </c>
      <c r="I17" s="13"/>
    </row>
    <row r="18" spans="1:9" s="10" customFormat="1" ht="14.25" thickTop="1" thickBot="1" x14ac:dyDescent="0.25">
      <c r="C18" s="11"/>
      <c r="D18" s="11"/>
      <c r="E18" s="11"/>
      <c r="F18" s="100"/>
      <c r="G18" s="100"/>
      <c r="H18" s="111"/>
      <c r="I18" s="11"/>
    </row>
    <row r="19" spans="1:9" s="12" customFormat="1" ht="32.25" thickBot="1" x14ac:dyDescent="0.25">
      <c r="A19" s="276" t="s">
        <v>150</v>
      </c>
      <c r="B19" s="277"/>
      <c r="C19" s="277"/>
      <c r="D19" s="278"/>
      <c r="E19" s="36"/>
      <c r="F19" s="95" t="s">
        <v>450</v>
      </c>
      <c r="G19" s="96"/>
      <c r="H19" s="95" t="s">
        <v>527</v>
      </c>
      <c r="I19" s="36"/>
    </row>
    <row r="20" spans="1:9" s="4" customFormat="1" ht="15" customHeight="1" thickBot="1" x14ac:dyDescent="0.3">
      <c r="A20" s="55" t="s">
        <v>6</v>
      </c>
      <c r="B20" s="31" t="s">
        <v>165</v>
      </c>
      <c r="C20" s="33"/>
      <c r="D20" s="48"/>
      <c r="E20" s="37"/>
      <c r="F20" s="97" t="s">
        <v>189</v>
      </c>
      <c r="G20" s="98"/>
      <c r="H20" s="97" t="s">
        <v>189</v>
      </c>
      <c r="I20" s="37"/>
    </row>
    <row r="21" spans="1:9" ht="56.25" customHeight="1" x14ac:dyDescent="0.2">
      <c r="A21" s="46" t="s">
        <v>42</v>
      </c>
      <c r="B21" s="279" t="s">
        <v>161</v>
      </c>
      <c r="C21" s="280"/>
      <c r="D21" s="281"/>
      <c r="E21" s="13"/>
      <c r="F21" s="234">
        <f>247469*('PPI Adj'!D6)</f>
        <v>288796.32300000003</v>
      </c>
      <c r="G21" s="99"/>
      <c r="H21" s="234">
        <f>251250*('PPI Adj'!D6)</f>
        <v>293208.75</v>
      </c>
      <c r="I21" s="13"/>
    </row>
    <row r="22" spans="1:9" ht="42.75" customHeight="1" x14ac:dyDescent="0.2">
      <c r="A22" s="43" t="s">
        <v>20</v>
      </c>
      <c r="B22" s="258" t="s">
        <v>162</v>
      </c>
      <c r="C22" s="259"/>
      <c r="D22" s="260"/>
      <c r="E22" s="13"/>
      <c r="F22" s="231">
        <f>392*('PPI Adj'!D6)</f>
        <v>457.464</v>
      </c>
      <c r="G22" s="99"/>
      <c r="H22" s="231" t="s">
        <v>182</v>
      </c>
      <c r="I22" s="13"/>
    </row>
    <row r="23" spans="1:9" ht="33" customHeight="1" thickBot="1" x14ac:dyDescent="0.25">
      <c r="A23" s="47" t="s">
        <v>41</v>
      </c>
      <c r="B23" s="300" t="s">
        <v>163</v>
      </c>
      <c r="C23" s="301"/>
      <c r="D23" s="302"/>
      <c r="E23" s="1"/>
      <c r="F23" s="214">
        <v>5</v>
      </c>
      <c r="G23" s="101"/>
      <c r="H23" s="214">
        <v>5</v>
      </c>
      <c r="I23" s="1"/>
    </row>
    <row r="24" spans="1:9" ht="13.5" thickBot="1" x14ac:dyDescent="0.25">
      <c r="A24" s="58"/>
      <c r="B24" s="1"/>
      <c r="C24" s="1"/>
      <c r="D24" s="1"/>
      <c r="E24" s="1"/>
      <c r="F24" s="102"/>
      <c r="G24" s="101"/>
      <c r="H24" s="102"/>
      <c r="I24" s="1"/>
    </row>
    <row r="25" spans="1:9" s="8" customFormat="1" ht="32.25" thickBot="1" x14ac:dyDescent="0.25">
      <c r="A25" s="303" t="s">
        <v>164</v>
      </c>
      <c r="B25" s="304"/>
      <c r="C25" s="304"/>
      <c r="D25" s="305"/>
      <c r="E25" s="38"/>
      <c r="F25" s="95" t="s">
        <v>450</v>
      </c>
      <c r="G25" s="103"/>
      <c r="H25" s="95" t="s">
        <v>527</v>
      </c>
      <c r="I25" s="38"/>
    </row>
    <row r="26" spans="1:9" s="3" customFormat="1" ht="15" customHeight="1" thickBot="1" x14ac:dyDescent="0.3">
      <c r="A26" s="55" t="s">
        <v>6</v>
      </c>
      <c r="B26" s="56" t="s">
        <v>7</v>
      </c>
      <c r="C26" s="306" t="s">
        <v>165</v>
      </c>
      <c r="D26" s="307"/>
      <c r="E26" s="39"/>
      <c r="F26" s="97" t="s">
        <v>189</v>
      </c>
      <c r="G26" s="104"/>
      <c r="H26" s="97" t="s">
        <v>189</v>
      </c>
      <c r="I26" s="39"/>
    </row>
    <row r="27" spans="1:9" s="13" customFormat="1" ht="41.1" customHeight="1" thickBot="1" x14ac:dyDescent="0.3">
      <c r="A27" s="49" t="s">
        <v>8</v>
      </c>
      <c r="B27" s="29" t="s">
        <v>131</v>
      </c>
      <c r="C27" s="282" t="s">
        <v>118</v>
      </c>
      <c r="D27" s="283"/>
      <c r="E27" s="34"/>
      <c r="F27" s="133">
        <v>14500</v>
      </c>
      <c r="G27" s="105"/>
      <c r="H27" s="133">
        <v>14300</v>
      </c>
      <c r="I27" s="34"/>
    </row>
    <row r="28" spans="1:9" s="13" customFormat="1" ht="13.5" thickBot="1" x14ac:dyDescent="0.3">
      <c r="A28" s="284" t="s">
        <v>21</v>
      </c>
      <c r="B28" s="286" t="s">
        <v>125</v>
      </c>
      <c r="C28" s="288" t="s">
        <v>67</v>
      </c>
      <c r="D28" s="289"/>
      <c r="E28" s="34"/>
      <c r="F28" s="134">
        <v>5</v>
      </c>
      <c r="G28" s="105"/>
      <c r="H28" s="134">
        <v>5</v>
      </c>
      <c r="I28" s="34"/>
    </row>
    <row r="29" spans="1:9" s="13" customFormat="1" ht="15.95" customHeight="1" thickBot="1" x14ac:dyDescent="0.3">
      <c r="A29" s="285"/>
      <c r="B29" s="287"/>
      <c r="C29" s="282" t="s">
        <v>68</v>
      </c>
      <c r="D29" s="283"/>
      <c r="E29" s="34"/>
      <c r="F29" s="133">
        <v>20</v>
      </c>
      <c r="G29" s="105"/>
      <c r="H29" s="133">
        <v>20</v>
      </c>
      <c r="I29" s="34"/>
    </row>
    <row r="30" spans="1:9" s="13" customFormat="1" ht="13.5" thickBot="1" x14ac:dyDescent="0.3">
      <c r="A30" s="50" t="s">
        <v>123</v>
      </c>
      <c r="B30" s="30" t="s">
        <v>108</v>
      </c>
      <c r="C30" s="298"/>
      <c r="D30" s="299"/>
      <c r="E30" s="35"/>
      <c r="F30" s="133"/>
      <c r="G30" s="232"/>
      <c r="H30" s="133"/>
      <c r="I30" s="35"/>
    </row>
    <row r="31" spans="1:9" s="13" customFormat="1" ht="12.75" customHeight="1" x14ac:dyDescent="0.25">
      <c r="A31" s="284" t="s">
        <v>59</v>
      </c>
      <c r="B31" s="286"/>
      <c r="C31" s="288" t="s">
        <v>58</v>
      </c>
      <c r="D31" s="289"/>
      <c r="E31" s="34"/>
      <c r="F31" s="134">
        <v>158</v>
      </c>
      <c r="G31" s="105"/>
      <c r="H31" s="134" t="s">
        <v>532</v>
      </c>
      <c r="I31" s="34"/>
    </row>
    <row r="32" spans="1:9" s="13" customFormat="1" ht="12.75" customHeight="1" x14ac:dyDescent="0.25">
      <c r="A32" s="292"/>
      <c r="B32" s="293"/>
      <c r="C32" s="294" t="s">
        <v>57</v>
      </c>
      <c r="D32" s="295"/>
      <c r="E32" s="34"/>
      <c r="F32" s="127">
        <v>263</v>
      </c>
      <c r="G32" s="105"/>
      <c r="H32" s="127" t="s">
        <v>533</v>
      </c>
      <c r="I32" s="34"/>
    </row>
    <row r="33" spans="1:9" s="13" customFormat="1" ht="12.75" customHeight="1" x14ac:dyDescent="0.25">
      <c r="A33" s="292"/>
      <c r="B33" s="293"/>
      <c r="C33" s="294" t="s">
        <v>69</v>
      </c>
      <c r="D33" s="295"/>
      <c r="E33" s="34"/>
      <c r="F33" s="127">
        <v>90</v>
      </c>
      <c r="G33" s="105"/>
      <c r="H33" s="127" t="s">
        <v>534</v>
      </c>
      <c r="I33" s="34"/>
    </row>
    <row r="34" spans="1:9" s="13" customFormat="1" ht="12.75" customHeight="1" x14ac:dyDescent="0.25">
      <c r="A34" s="292"/>
      <c r="B34" s="293"/>
      <c r="C34" s="294" t="s">
        <v>70</v>
      </c>
      <c r="D34" s="295"/>
      <c r="E34" s="34"/>
      <c r="F34" s="127">
        <v>75</v>
      </c>
      <c r="G34" s="105"/>
      <c r="H34" s="127" t="s">
        <v>535</v>
      </c>
      <c r="I34" s="34"/>
    </row>
    <row r="35" spans="1:9" s="13" customFormat="1" ht="14.1" customHeight="1" thickBot="1" x14ac:dyDescent="0.3">
      <c r="A35" s="285"/>
      <c r="B35" s="287"/>
      <c r="C35" s="290" t="s">
        <v>111</v>
      </c>
      <c r="D35" s="291"/>
      <c r="E35" s="34"/>
      <c r="F35" s="135">
        <v>193</v>
      </c>
      <c r="G35" s="105"/>
      <c r="H35" s="135" t="s">
        <v>536</v>
      </c>
      <c r="I35" s="34"/>
    </row>
    <row r="36" spans="1:9" s="13" customFormat="1" ht="15.6" customHeight="1" x14ac:dyDescent="0.25">
      <c r="A36" s="284" t="s">
        <v>11</v>
      </c>
      <c r="B36" s="286"/>
      <c r="C36" s="288" t="s">
        <v>24</v>
      </c>
      <c r="D36" s="289"/>
      <c r="E36" s="34"/>
      <c r="F36" s="134">
        <v>5000</v>
      </c>
      <c r="G36" s="105"/>
      <c r="H36" s="134" t="s">
        <v>537</v>
      </c>
      <c r="I36" s="34"/>
    </row>
    <row r="37" spans="1:9" s="13" customFormat="1" ht="15.6" customHeight="1" thickBot="1" x14ac:dyDescent="0.3">
      <c r="A37" s="285"/>
      <c r="B37" s="287"/>
      <c r="C37" s="290" t="s">
        <v>22</v>
      </c>
      <c r="D37" s="291"/>
      <c r="E37" s="34"/>
      <c r="F37" s="135">
        <v>5000</v>
      </c>
      <c r="G37" s="105"/>
      <c r="H37" s="135" t="s">
        <v>537</v>
      </c>
      <c r="I37" s="34"/>
    </row>
    <row r="38" spans="1:9" s="13" customFormat="1" ht="15.6" customHeight="1" x14ac:dyDescent="0.25">
      <c r="A38" s="284" t="s">
        <v>16</v>
      </c>
      <c r="B38" s="286"/>
      <c r="C38" s="288" t="s">
        <v>24</v>
      </c>
      <c r="D38" s="289"/>
      <c r="E38" s="34"/>
      <c r="F38" s="134">
        <v>9600</v>
      </c>
      <c r="G38" s="105"/>
      <c r="H38" s="134" t="s">
        <v>538</v>
      </c>
      <c r="I38" s="34"/>
    </row>
    <row r="39" spans="1:9" s="13" customFormat="1" ht="14.1" customHeight="1" thickBot="1" x14ac:dyDescent="0.3">
      <c r="A39" s="285"/>
      <c r="B39" s="287"/>
      <c r="C39" s="290" t="s">
        <v>23</v>
      </c>
      <c r="D39" s="291"/>
      <c r="E39" s="34"/>
      <c r="F39" s="135">
        <v>9600</v>
      </c>
      <c r="G39" s="105"/>
      <c r="H39" s="135" t="s">
        <v>538</v>
      </c>
      <c r="I39" s="34"/>
    </row>
    <row r="40" spans="1:9" s="13" customFormat="1" ht="18.600000000000001" customHeight="1" thickBot="1" x14ac:dyDescent="0.3">
      <c r="A40" s="50" t="s">
        <v>52</v>
      </c>
      <c r="B40" s="30" t="s">
        <v>53</v>
      </c>
      <c r="C40" s="298"/>
      <c r="D40" s="299"/>
      <c r="E40" s="35"/>
      <c r="F40" s="133"/>
      <c r="G40" s="232"/>
      <c r="H40" s="133"/>
      <c r="I40" s="35"/>
    </row>
    <row r="41" spans="1:9" s="13" customFormat="1" ht="13.5" customHeight="1" x14ac:dyDescent="0.25">
      <c r="A41" s="284" t="s">
        <v>12</v>
      </c>
      <c r="B41" s="286" t="s">
        <v>142</v>
      </c>
      <c r="C41" s="288" t="s">
        <v>174</v>
      </c>
      <c r="D41" s="289"/>
      <c r="E41" s="34"/>
      <c r="F41" s="134" t="s">
        <v>474</v>
      </c>
      <c r="G41" s="105"/>
      <c r="H41" s="134" t="s">
        <v>539</v>
      </c>
      <c r="I41" s="34"/>
    </row>
    <row r="42" spans="1:9" s="13" customFormat="1" ht="13.5" customHeight="1" x14ac:dyDescent="0.25">
      <c r="A42" s="292"/>
      <c r="B42" s="293"/>
      <c r="C42" s="294" t="s">
        <v>175</v>
      </c>
      <c r="D42" s="295"/>
      <c r="E42" s="34"/>
      <c r="F42" s="127" t="s">
        <v>461</v>
      </c>
      <c r="G42" s="105"/>
      <c r="H42" s="127" t="s">
        <v>540</v>
      </c>
      <c r="I42" s="34"/>
    </row>
    <row r="43" spans="1:9" s="13" customFormat="1" ht="13.5" customHeight="1" x14ac:dyDescent="0.25">
      <c r="A43" s="292"/>
      <c r="B43" s="293"/>
      <c r="C43" s="294" t="s">
        <v>176</v>
      </c>
      <c r="D43" s="295"/>
      <c r="E43" s="34"/>
      <c r="F43" s="126" t="s">
        <v>474</v>
      </c>
      <c r="G43" s="105"/>
      <c r="H43" s="126" t="s">
        <v>539</v>
      </c>
      <c r="I43" s="34"/>
    </row>
    <row r="44" spans="1:9" s="13" customFormat="1" ht="13.5" customHeight="1" x14ac:dyDescent="0.25">
      <c r="A44" s="292"/>
      <c r="B44" s="293"/>
      <c r="C44" s="294" t="s">
        <v>177</v>
      </c>
      <c r="D44" s="295"/>
      <c r="E44" s="34"/>
      <c r="F44" s="127" t="s">
        <v>462</v>
      </c>
      <c r="G44" s="105"/>
      <c r="H44" s="127" t="s">
        <v>541</v>
      </c>
      <c r="I44" s="34"/>
    </row>
    <row r="45" spans="1:9" s="13" customFormat="1" ht="13.5" customHeight="1" x14ac:dyDescent="0.25">
      <c r="A45" s="292"/>
      <c r="B45" s="293"/>
      <c r="C45" s="294" t="s">
        <v>112</v>
      </c>
      <c r="D45" s="295"/>
      <c r="E45" s="34"/>
      <c r="F45" s="127" t="s">
        <v>475</v>
      </c>
      <c r="G45" s="105"/>
      <c r="H45" s="127" t="s">
        <v>542</v>
      </c>
      <c r="I45" s="34"/>
    </row>
    <row r="46" spans="1:9" s="13" customFormat="1" ht="13.5" customHeight="1" x14ac:dyDescent="0.25">
      <c r="A46" s="292"/>
      <c r="B46" s="293"/>
      <c r="C46" s="294" t="s">
        <v>113</v>
      </c>
      <c r="D46" s="295"/>
      <c r="E46" s="34"/>
      <c r="F46" s="127" t="s">
        <v>476</v>
      </c>
      <c r="G46" s="105"/>
      <c r="H46" s="127" t="s">
        <v>543</v>
      </c>
      <c r="I46" s="34"/>
    </row>
    <row r="47" spans="1:9" s="13" customFormat="1" ht="13.5" customHeight="1" x14ac:dyDescent="0.25">
      <c r="A47" s="292"/>
      <c r="B47" s="293"/>
      <c r="C47" s="294" t="s">
        <v>114</v>
      </c>
      <c r="D47" s="295"/>
      <c r="E47" s="34"/>
      <c r="F47" s="127" t="s">
        <v>475</v>
      </c>
      <c r="G47" s="105"/>
      <c r="H47" s="127" t="s">
        <v>542</v>
      </c>
      <c r="I47" s="34"/>
    </row>
    <row r="48" spans="1:9" s="13" customFormat="1" ht="13.5" customHeight="1" thickBot="1" x14ac:dyDescent="0.3">
      <c r="A48" s="285"/>
      <c r="B48" s="287"/>
      <c r="C48" s="290" t="s">
        <v>115</v>
      </c>
      <c r="D48" s="291"/>
      <c r="E48" s="34"/>
      <c r="F48" s="135" t="s">
        <v>476</v>
      </c>
      <c r="G48" s="105"/>
      <c r="H48" s="135" t="s">
        <v>543</v>
      </c>
      <c r="I48" s="34"/>
    </row>
    <row r="49" spans="1:9" s="13" customFormat="1" ht="12.75" customHeight="1" x14ac:dyDescent="0.25">
      <c r="A49" s="284" t="s">
        <v>10</v>
      </c>
      <c r="B49" s="286" t="s">
        <v>62</v>
      </c>
      <c r="C49" s="288" t="s">
        <v>116</v>
      </c>
      <c r="D49" s="289"/>
      <c r="E49" s="34"/>
      <c r="F49" s="134">
        <v>1</v>
      </c>
      <c r="G49" s="105"/>
      <c r="H49" s="134">
        <v>1</v>
      </c>
      <c r="I49" s="34"/>
    </row>
    <row r="50" spans="1:9" s="13" customFormat="1" ht="12.75" customHeight="1" x14ac:dyDescent="0.25">
      <c r="A50" s="292"/>
      <c r="B50" s="293"/>
      <c r="C50" s="294" t="s">
        <v>117</v>
      </c>
      <c r="D50" s="295"/>
      <c r="E50" s="34"/>
      <c r="F50" s="127" t="s">
        <v>516</v>
      </c>
      <c r="G50" s="105"/>
      <c r="H50" s="127" t="s">
        <v>202</v>
      </c>
      <c r="I50" s="34"/>
    </row>
    <row r="51" spans="1:9" s="13" customFormat="1" ht="13.5" customHeight="1" thickBot="1" x14ac:dyDescent="0.3">
      <c r="A51" s="285"/>
      <c r="B51" s="287"/>
      <c r="C51" s="290" t="s">
        <v>71</v>
      </c>
      <c r="D51" s="291"/>
      <c r="E51" s="34"/>
      <c r="F51" s="136" t="s">
        <v>517</v>
      </c>
      <c r="G51" s="105"/>
      <c r="H51" s="136" t="s">
        <v>517</v>
      </c>
      <c r="I51" s="34"/>
    </row>
    <row r="52" spans="1:9" s="13" customFormat="1" ht="42.6" customHeight="1" thickBot="1" x14ac:dyDescent="0.3">
      <c r="A52" s="50" t="s">
        <v>190</v>
      </c>
      <c r="B52" s="28" t="s">
        <v>191</v>
      </c>
      <c r="C52" s="310" t="s">
        <v>192</v>
      </c>
      <c r="D52" s="311"/>
      <c r="E52" s="34"/>
      <c r="F52" s="134" t="s">
        <v>518</v>
      </c>
      <c r="G52" s="105"/>
      <c r="H52" s="134">
        <v>120</v>
      </c>
      <c r="I52" s="34"/>
    </row>
    <row r="53" spans="1:9" s="13" customFormat="1" ht="12.75" customHeight="1" x14ac:dyDescent="0.25">
      <c r="A53" s="284" t="s">
        <v>26</v>
      </c>
      <c r="B53" s="286"/>
      <c r="C53" s="288" t="s">
        <v>193</v>
      </c>
      <c r="D53" s="289"/>
      <c r="E53" s="34"/>
      <c r="F53" s="134">
        <v>3</v>
      </c>
      <c r="G53" s="105"/>
      <c r="H53" s="134">
        <v>2</v>
      </c>
      <c r="I53" s="34"/>
    </row>
    <row r="54" spans="1:9" s="13" customFormat="1" ht="12.75" customHeight="1" x14ac:dyDescent="0.25">
      <c r="A54" s="292"/>
      <c r="B54" s="293"/>
      <c r="C54" s="294" t="s">
        <v>194</v>
      </c>
      <c r="D54" s="295"/>
      <c r="E54" s="34"/>
      <c r="F54" s="127" t="s">
        <v>519</v>
      </c>
      <c r="G54" s="105"/>
      <c r="H54" s="127" t="s">
        <v>544</v>
      </c>
      <c r="I54" s="34"/>
    </row>
    <row r="55" spans="1:9" s="13" customFormat="1" ht="13.5" customHeight="1" thickBot="1" x14ac:dyDescent="0.3">
      <c r="A55" s="285"/>
      <c r="B55" s="287"/>
      <c r="C55" s="290" t="s">
        <v>195</v>
      </c>
      <c r="D55" s="291"/>
      <c r="E55" s="34"/>
      <c r="F55" s="135" t="s">
        <v>520</v>
      </c>
      <c r="G55" s="105"/>
      <c r="H55" s="135" t="s">
        <v>545</v>
      </c>
      <c r="I55" s="34"/>
    </row>
    <row r="56" spans="1:9" s="13" customFormat="1" ht="15.95" customHeight="1" thickBot="1" x14ac:dyDescent="0.3">
      <c r="A56" s="50" t="s">
        <v>44</v>
      </c>
      <c r="B56" s="30" t="s">
        <v>508</v>
      </c>
      <c r="C56" s="298"/>
      <c r="D56" s="299"/>
      <c r="E56" s="35"/>
      <c r="F56" s="137"/>
      <c r="G56" s="232"/>
      <c r="H56" s="137"/>
      <c r="I56" s="35"/>
    </row>
    <row r="57" spans="1:9" s="13" customFormat="1" ht="27" customHeight="1" thickBot="1" x14ac:dyDescent="0.3">
      <c r="A57" s="50" t="s">
        <v>44</v>
      </c>
      <c r="B57" s="30" t="s">
        <v>63</v>
      </c>
      <c r="C57" s="298"/>
      <c r="D57" s="299"/>
      <c r="E57" s="35"/>
      <c r="F57" s="137"/>
      <c r="G57" s="232"/>
      <c r="H57" s="137"/>
      <c r="I57" s="35"/>
    </row>
    <row r="58" spans="1:9" s="13" customFormat="1" ht="28.5" customHeight="1" thickBot="1" x14ac:dyDescent="0.3">
      <c r="A58" s="50" t="s">
        <v>44</v>
      </c>
      <c r="B58" s="30" t="s">
        <v>64</v>
      </c>
      <c r="C58" s="298"/>
      <c r="D58" s="299"/>
      <c r="E58" s="35"/>
      <c r="F58" s="137"/>
      <c r="G58" s="232"/>
      <c r="H58" s="137"/>
      <c r="I58" s="35"/>
    </row>
    <row r="59" spans="1:9" s="13" customFormat="1" ht="15.95" customHeight="1" thickBot="1" x14ac:dyDescent="0.3">
      <c r="A59" s="50" t="s">
        <v>50</v>
      </c>
      <c r="B59" s="30" t="s">
        <v>65</v>
      </c>
      <c r="C59" s="298"/>
      <c r="D59" s="299"/>
      <c r="E59" s="35"/>
      <c r="F59" s="137"/>
      <c r="G59" s="232"/>
      <c r="H59" s="137"/>
      <c r="I59" s="35"/>
    </row>
    <row r="60" spans="1:9" s="13" customFormat="1" ht="26.25" thickBot="1" x14ac:dyDescent="0.3">
      <c r="A60" s="50" t="s">
        <v>27</v>
      </c>
      <c r="B60" s="30"/>
      <c r="C60" s="310" t="s">
        <v>77</v>
      </c>
      <c r="D60" s="311"/>
      <c r="E60" s="34"/>
      <c r="F60" s="133" t="s">
        <v>410</v>
      </c>
      <c r="G60" s="105"/>
      <c r="H60" s="133" t="s">
        <v>546</v>
      </c>
      <c r="I60" s="34"/>
    </row>
    <row r="61" spans="1:9" s="13" customFormat="1" ht="42.6" customHeight="1" thickBot="1" x14ac:dyDescent="0.3">
      <c r="A61" s="50" t="s">
        <v>51</v>
      </c>
      <c r="B61" s="30" t="s">
        <v>79</v>
      </c>
      <c r="C61" s="298"/>
      <c r="D61" s="299"/>
      <c r="E61" s="35"/>
      <c r="F61" s="133"/>
      <c r="G61" s="232"/>
      <c r="H61" s="133"/>
      <c r="I61" s="35"/>
    </row>
    <row r="62" spans="1:9" s="13" customFormat="1" ht="40.5" customHeight="1" thickBot="1" x14ac:dyDescent="0.3">
      <c r="A62" s="50" t="s">
        <v>54</v>
      </c>
      <c r="B62" s="30" t="s">
        <v>80</v>
      </c>
      <c r="C62" s="298"/>
      <c r="D62" s="299"/>
      <c r="E62" s="35"/>
      <c r="F62" s="133"/>
      <c r="G62" s="232"/>
      <c r="H62" s="133"/>
      <c r="I62" s="35"/>
    </row>
    <row r="63" spans="1:9" s="13" customFormat="1" ht="79.5" customHeight="1" thickBot="1" x14ac:dyDescent="0.3">
      <c r="A63" s="50" t="s">
        <v>29</v>
      </c>
      <c r="B63" s="30" t="s">
        <v>132</v>
      </c>
      <c r="C63" s="298"/>
      <c r="D63" s="299"/>
      <c r="E63" s="35"/>
      <c r="F63" s="133"/>
      <c r="G63" s="232"/>
      <c r="H63" s="133"/>
      <c r="I63" s="35"/>
    </row>
    <row r="64" spans="1:9" s="13" customFormat="1" ht="51.75" thickBot="1" x14ac:dyDescent="0.3">
      <c r="A64" s="50" t="s">
        <v>31</v>
      </c>
      <c r="B64" s="30" t="s">
        <v>94</v>
      </c>
      <c r="C64" s="310" t="s">
        <v>30</v>
      </c>
      <c r="D64" s="311"/>
      <c r="E64" s="34"/>
      <c r="F64" s="133" t="s">
        <v>411</v>
      </c>
      <c r="G64" s="105"/>
      <c r="H64" s="133" t="s">
        <v>547</v>
      </c>
      <c r="I64" s="34"/>
    </row>
    <row r="65" spans="1:9" s="13" customFormat="1" ht="27" customHeight="1" thickBot="1" x14ac:dyDescent="0.3">
      <c r="A65" s="50" t="s">
        <v>55</v>
      </c>
      <c r="B65" s="30" t="s">
        <v>95</v>
      </c>
      <c r="C65" s="298"/>
      <c r="D65" s="299"/>
      <c r="E65" s="35"/>
      <c r="F65" s="133"/>
      <c r="G65" s="232"/>
      <c r="H65" s="133"/>
      <c r="I65" s="35"/>
    </row>
    <row r="66" spans="1:9" s="13" customFormat="1" ht="39" thickBot="1" x14ac:dyDescent="0.3">
      <c r="A66" s="50" t="s">
        <v>32</v>
      </c>
      <c r="B66" s="30" t="s">
        <v>96</v>
      </c>
      <c r="C66" s="310" t="s">
        <v>30</v>
      </c>
      <c r="D66" s="311"/>
      <c r="E66" s="34"/>
      <c r="F66" s="133" t="s">
        <v>412</v>
      </c>
      <c r="G66" s="105"/>
      <c r="H66" s="133" t="s">
        <v>548</v>
      </c>
      <c r="I66" s="34"/>
    </row>
    <row r="67" spans="1:9" s="13" customFormat="1" ht="41.1" customHeight="1" thickBot="1" x14ac:dyDescent="0.3">
      <c r="A67" s="50" t="s">
        <v>56</v>
      </c>
      <c r="B67" s="30" t="s">
        <v>167</v>
      </c>
      <c r="C67" s="298"/>
      <c r="D67" s="299"/>
      <c r="E67" s="35"/>
      <c r="F67" s="133"/>
      <c r="G67" s="232"/>
      <c r="H67" s="133"/>
      <c r="I67" s="35"/>
    </row>
    <row r="68" spans="1:9" s="13" customFormat="1" ht="27" customHeight="1" thickBot="1" x14ac:dyDescent="0.3">
      <c r="A68" s="50" t="s">
        <v>48</v>
      </c>
      <c r="B68" s="30" t="s">
        <v>47</v>
      </c>
      <c r="C68" s="298"/>
      <c r="D68" s="299"/>
      <c r="E68" s="35"/>
      <c r="F68" s="133"/>
      <c r="G68" s="232"/>
      <c r="H68" s="133"/>
      <c r="I68" s="35"/>
    </row>
    <row r="69" spans="1:9" s="13" customFormat="1" ht="40.5" customHeight="1" thickBot="1" x14ac:dyDescent="0.3">
      <c r="A69" s="50" t="s">
        <v>49</v>
      </c>
      <c r="B69" s="30" t="s">
        <v>103</v>
      </c>
      <c r="C69" s="298" t="s">
        <v>521</v>
      </c>
      <c r="D69" s="299"/>
      <c r="E69" s="35"/>
      <c r="F69" s="133" t="s">
        <v>522</v>
      </c>
      <c r="G69" s="232"/>
      <c r="H69" s="133" t="s">
        <v>549</v>
      </c>
      <c r="I69" s="35"/>
    </row>
    <row r="70" spans="1:9" s="13" customFormat="1" ht="26.25" thickBot="1" x14ac:dyDescent="0.3">
      <c r="A70" s="50" t="s">
        <v>46</v>
      </c>
      <c r="B70" s="30" t="s">
        <v>81</v>
      </c>
      <c r="C70" s="298"/>
      <c r="D70" s="299"/>
      <c r="E70" s="35"/>
      <c r="F70" s="133"/>
      <c r="G70" s="232"/>
      <c r="H70" s="133"/>
      <c r="I70" s="35"/>
    </row>
    <row r="71" spans="1:9" ht="13.5" thickBot="1" x14ac:dyDescent="0.25">
      <c r="H71" s="112"/>
    </row>
    <row r="72" spans="1:9" s="17" customFormat="1" ht="32.25" customHeight="1" thickBot="1" x14ac:dyDescent="0.3">
      <c r="A72" s="303" t="s">
        <v>168</v>
      </c>
      <c r="B72" s="304"/>
      <c r="C72" s="304"/>
      <c r="D72" s="305"/>
      <c r="E72" s="38"/>
      <c r="F72" s="95" t="s">
        <v>450</v>
      </c>
      <c r="G72" s="103"/>
      <c r="H72" s="95" t="s">
        <v>527</v>
      </c>
    </row>
    <row r="73" spans="1:9" s="3" customFormat="1" ht="15" customHeight="1" thickBot="1" x14ac:dyDescent="0.3">
      <c r="A73" s="334" t="s">
        <v>169</v>
      </c>
      <c r="B73" s="335"/>
      <c r="C73" s="335"/>
      <c r="D73" s="307"/>
      <c r="E73" s="39"/>
      <c r="F73" s="97" t="s">
        <v>189</v>
      </c>
      <c r="G73" s="104"/>
      <c r="H73" s="97" t="s">
        <v>189</v>
      </c>
    </row>
    <row r="74" spans="1:9" s="13" customFormat="1" ht="12.75" customHeight="1" x14ac:dyDescent="0.25">
      <c r="A74" s="336" t="s">
        <v>82</v>
      </c>
      <c r="B74" s="337"/>
      <c r="C74" s="337"/>
      <c r="D74" s="338"/>
      <c r="E74" s="35"/>
      <c r="F74" s="233" t="s">
        <v>182</v>
      </c>
      <c r="G74" s="232"/>
      <c r="H74" s="233" t="s">
        <v>182</v>
      </c>
    </row>
    <row r="75" spans="1:9" s="13" customFormat="1" ht="12.75" customHeight="1" x14ac:dyDescent="0.25">
      <c r="A75" s="339" t="s">
        <v>83</v>
      </c>
      <c r="B75" s="340"/>
      <c r="C75" s="340"/>
      <c r="D75" s="341"/>
      <c r="E75" s="35"/>
      <c r="F75" s="138">
        <f>-1137*('PPI Adj'!D6)</f>
        <v>-1326.8790000000001</v>
      </c>
      <c r="G75" s="232"/>
      <c r="H75" s="138">
        <f>-1378.3*('PPI Adj'!D6)</f>
        <v>-1608.4761000000001</v>
      </c>
    </row>
    <row r="76" spans="1:9" s="13" customFormat="1" ht="12.75" customHeight="1" x14ac:dyDescent="0.25">
      <c r="A76" s="324" t="s">
        <v>34</v>
      </c>
      <c r="B76" s="325"/>
      <c r="C76" s="325"/>
      <c r="D76" s="326"/>
      <c r="E76" s="34"/>
      <c r="F76" s="139">
        <f>379.4*('PPI Adj'!D6)</f>
        <v>442.75979999999998</v>
      </c>
      <c r="G76" s="105"/>
      <c r="H76" s="139" t="s">
        <v>188</v>
      </c>
    </row>
    <row r="77" spans="1:9" s="13" customFormat="1" x14ac:dyDescent="0.25">
      <c r="A77" s="318" t="s">
        <v>35</v>
      </c>
      <c r="B77" s="319"/>
      <c r="C77" s="319"/>
      <c r="D77" s="320"/>
      <c r="E77" s="35"/>
      <c r="F77" s="139" t="s">
        <v>188</v>
      </c>
      <c r="G77" s="232"/>
      <c r="H77" s="139" t="s">
        <v>188</v>
      </c>
    </row>
    <row r="78" spans="1:9" s="13" customFormat="1" x14ac:dyDescent="0.25">
      <c r="A78" s="318" t="s">
        <v>36</v>
      </c>
      <c r="B78" s="319"/>
      <c r="C78" s="319"/>
      <c r="D78" s="320"/>
      <c r="E78" s="34"/>
      <c r="F78" s="139" t="s">
        <v>188</v>
      </c>
      <c r="G78" s="105"/>
      <c r="H78" s="139" t="s">
        <v>188</v>
      </c>
    </row>
    <row r="79" spans="1:9" s="13" customFormat="1" x14ac:dyDescent="0.25">
      <c r="A79" s="318" t="s">
        <v>60</v>
      </c>
      <c r="B79" s="319"/>
      <c r="C79" s="319"/>
      <c r="D79" s="320"/>
      <c r="E79" s="34"/>
      <c r="F79" s="139">
        <f>1918*('PPI Adj'!D6)</f>
        <v>2238.306</v>
      </c>
      <c r="G79" s="105"/>
      <c r="H79" s="139" t="s">
        <v>188</v>
      </c>
    </row>
    <row r="80" spans="1:9" s="13" customFormat="1" x14ac:dyDescent="0.25">
      <c r="A80" s="318" t="s">
        <v>61</v>
      </c>
      <c r="B80" s="319"/>
      <c r="C80" s="319"/>
      <c r="D80" s="320"/>
      <c r="E80" s="34"/>
      <c r="F80" s="139" t="s">
        <v>188</v>
      </c>
      <c r="G80" s="105"/>
      <c r="H80" s="139" t="s">
        <v>188</v>
      </c>
    </row>
    <row r="81" spans="1:8" s="13" customFormat="1" x14ac:dyDescent="0.25">
      <c r="A81" s="318" t="s">
        <v>86</v>
      </c>
      <c r="B81" s="319"/>
      <c r="C81" s="319"/>
      <c r="D81" s="320"/>
      <c r="E81" s="34"/>
      <c r="F81" s="139">
        <f>1086.6*('PPI Adj'!D6)</f>
        <v>1268.0621999999998</v>
      </c>
      <c r="G81" s="105"/>
      <c r="H81" s="139">
        <f>2000*('PPI Adj'!D6)</f>
        <v>2334</v>
      </c>
    </row>
    <row r="82" spans="1:8" x14ac:dyDescent="0.2">
      <c r="A82" s="318" t="s">
        <v>85</v>
      </c>
      <c r="B82" s="319"/>
      <c r="C82" s="319"/>
      <c r="D82" s="320"/>
      <c r="E82" s="34"/>
      <c r="F82" s="139">
        <f>5798.8*('PPI Adj'!D6)</f>
        <v>6767.1996000000008</v>
      </c>
      <c r="G82" s="105"/>
      <c r="H82" s="139">
        <f>11900*('PPI Adj'!D6)</f>
        <v>13887.300000000001</v>
      </c>
    </row>
    <row r="83" spans="1:8" x14ac:dyDescent="0.2">
      <c r="A83" s="318" t="s">
        <v>13</v>
      </c>
      <c r="B83" s="319"/>
      <c r="C83" s="319"/>
      <c r="D83" s="320"/>
      <c r="E83" s="34"/>
      <c r="F83" s="139">
        <f>6498.8*('PPI Adj'!D6)</f>
        <v>7584.0996000000005</v>
      </c>
      <c r="G83" s="105"/>
      <c r="H83" s="139">
        <f>6600.01*('PPI Adj'!D6)</f>
        <v>7702.2116700000006</v>
      </c>
    </row>
    <row r="84" spans="1:8" x14ac:dyDescent="0.2">
      <c r="A84" s="318" t="s">
        <v>37</v>
      </c>
      <c r="B84" s="319"/>
      <c r="C84" s="319"/>
      <c r="D84" s="320"/>
      <c r="E84" s="35"/>
      <c r="F84" s="139">
        <f>544.6*('PPI Adj'!D6)</f>
        <v>635.54820000000007</v>
      </c>
      <c r="G84" s="232"/>
      <c r="H84" s="139" t="s">
        <v>188</v>
      </c>
    </row>
    <row r="85" spans="1:8" x14ac:dyDescent="0.2">
      <c r="A85" s="318" t="s">
        <v>38</v>
      </c>
      <c r="B85" s="319"/>
      <c r="C85" s="319"/>
      <c r="D85" s="320"/>
      <c r="E85" s="35"/>
      <c r="F85" s="139">
        <f>1111.6*('PPI Adj'!D6)</f>
        <v>1297.2372</v>
      </c>
      <c r="G85" s="232"/>
      <c r="H85" s="139" t="s">
        <v>188</v>
      </c>
    </row>
    <row r="86" spans="1:8" x14ac:dyDescent="0.2">
      <c r="A86" s="318" t="s">
        <v>39</v>
      </c>
      <c r="B86" s="319"/>
      <c r="C86" s="319"/>
      <c r="D86" s="320"/>
      <c r="E86" s="34"/>
      <c r="F86" s="139">
        <f>616*('PPI Adj'!D6)</f>
        <v>718.87200000000007</v>
      </c>
      <c r="G86" s="105"/>
      <c r="H86" s="139">
        <f>580.01*('PPI Adj'!D6)</f>
        <v>676.87166999999999</v>
      </c>
    </row>
    <row r="87" spans="1:8" x14ac:dyDescent="0.2">
      <c r="A87" s="318" t="s">
        <v>90</v>
      </c>
      <c r="B87" s="319"/>
      <c r="C87" s="319"/>
      <c r="D87" s="320"/>
      <c r="E87" s="35"/>
      <c r="F87" s="139">
        <v>0</v>
      </c>
      <c r="G87" s="232"/>
      <c r="H87" s="139">
        <f>700*('PPI Adj'!D6)</f>
        <v>816.9</v>
      </c>
    </row>
    <row r="88" spans="1:8" x14ac:dyDescent="0.2">
      <c r="A88" s="318" t="s">
        <v>40</v>
      </c>
      <c r="B88" s="319"/>
      <c r="C88" s="319"/>
      <c r="D88" s="320"/>
      <c r="E88" s="34"/>
      <c r="F88" s="139">
        <f>329*('PPI Adj'!D6)</f>
        <v>383.94300000000004</v>
      </c>
      <c r="G88" s="105"/>
      <c r="H88" s="139" t="s">
        <v>188</v>
      </c>
    </row>
    <row r="89" spans="1:8" x14ac:dyDescent="0.2">
      <c r="A89" s="318" t="s">
        <v>14</v>
      </c>
      <c r="B89" s="319"/>
      <c r="C89" s="319"/>
      <c r="D89" s="320"/>
      <c r="E89" s="34"/>
      <c r="F89" s="139">
        <f>6454*('PPI Adj'!D6)</f>
        <v>7531.8180000000002</v>
      </c>
      <c r="G89" s="105"/>
      <c r="H89" s="139" t="s">
        <v>188</v>
      </c>
    </row>
    <row r="90" spans="1:8" x14ac:dyDescent="0.2">
      <c r="A90" s="318" t="s">
        <v>91</v>
      </c>
      <c r="B90" s="319"/>
      <c r="C90" s="319"/>
      <c r="D90" s="320"/>
      <c r="E90" s="34"/>
      <c r="F90" s="139">
        <f>3055*('PPI Adj'!D6)</f>
        <v>3565.1849999999999</v>
      </c>
      <c r="G90" s="105"/>
      <c r="H90" s="139">
        <f>3199.99*('PPI Adj'!D6)</f>
        <v>3734.3883299999998</v>
      </c>
    </row>
    <row r="91" spans="1:8" ht="13.5" thickBot="1" x14ac:dyDescent="0.25">
      <c r="A91" s="321" t="s">
        <v>92</v>
      </c>
      <c r="B91" s="322"/>
      <c r="C91" s="322"/>
      <c r="D91" s="323"/>
      <c r="E91" s="35"/>
      <c r="F91" s="140">
        <f>-929*('PPI Adj'!D6)</f>
        <v>-1084.143</v>
      </c>
      <c r="G91" s="232"/>
      <c r="H91" s="140">
        <f>-2142.86*('PPI Adj'!D6)</f>
        <v>-2500.7176200000004</v>
      </c>
    </row>
    <row r="92" spans="1:8" ht="13.5" thickBot="1" x14ac:dyDescent="0.25">
      <c r="H92" s="112"/>
    </row>
    <row r="93" spans="1:8" s="17" customFormat="1" ht="32.25" thickBot="1" x14ac:dyDescent="0.3">
      <c r="A93" s="303" t="s">
        <v>166</v>
      </c>
      <c r="B93" s="304"/>
      <c r="C93" s="304"/>
      <c r="D93" s="305"/>
      <c r="E93" s="38"/>
      <c r="F93" s="95" t="s">
        <v>450</v>
      </c>
      <c r="G93" s="103"/>
      <c r="H93" s="95" t="s">
        <v>527</v>
      </c>
    </row>
    <row r="94" spans="1:8" s="3" customFormat="1" ht="15" customHeight="1" thickBot="1" x14ac:dyDescent="0.3">
      <c r="A94" s="52" t="s">
        <v>33</v>
      </c>
      <c r="B94" s="24" t="s">
        <v>7</v>
      </c>
      <c r="C94" s="327" t="s">
        <v>165</v>
      </c>
      <c r="D94" s="328"/>
      <c r="E94" s="39"/>
      <c r="F94" s="97" t="s">
        <v>189</v>
      </c>
      <c r="G94" s="104"/>
      <c r="H94" s="97" t="s">
        <v>189</v>
      </c>
    </row>
    <row r="95" spans="1:8" s="13" customFormat="1" ht="28.5" customHeight="1" thickBot="1" x14ac:dyDescent="0.3">
      <c r="A95" s="53" t="s">
        <v>82</v>
      </c>
      <c r="B95" s="16" t="s">
        <v>130</v>
      </c>
      <c r="C95" s="329"/>
      <c r="D95" s="330"/>
      <c r="E95" s="35"/>
      <c r="F95" s="133" t="s">
        <v>182</v>
      </c>
      <c r="G95" s="232"/>
      <c r="H95" s="133" t="s">
        <v>182</v>
      </c>
    </row>
    <row r="96" spans="1:8" s="13" customFormat="1" ht="41.1" customHeight="1" thickBot="1" x14ac:dyDescent="0.3">
      <c r="A96" s="53" t="s">
        <v>83</v>
      </c>
      <c r="B96" s="23" t="s">
        <v>146</v>
      </c>
      <c r="C96" s="329"/>
      <c r="D96" s="330"/>
      <c r="E96" s="35"/>
      <c r="F96" s="133"/>
      <c r="G96" s="232"/>
      <c r="H96" s="133"/>
    </row>
    <row r="97" spans="1:8" s="13" customFormat="1" ht="26.25" thickBot="1" x14ac:dyDescent="0.3">
      <c r="A97" s="50" t="s">
        <v>34</v>
      </c>
      <c r="B97" s="30" t="s">
        <v>107</v>
      </c>
      <c r="C97" s="310" t="s">
        <v>30</v>
      </c>
      <c r="D97" s="311"/>
      <c r="E97" s="34"/>
      <c r="F97" s="133" t="s">
        <v>413</v>
      </c>
      <c r="G97" s="105"/>
      <c r="H97" s="133" t="s">
        <v>550</v>
      </c>
    </row>
    <row r="98" spans="1:8" s="13" customFormat="1" ht="53.1" customHeight="1" thickBot="1" x14ac:dyDescent="0.3">
      <c r="A98" s="50" t="s">
        <v>35</v>
      </c>
      <c r="B98" s="30" t="s">
        <v>97</v>
      </c>
      <c r="C98" s="298"/>
      <c r="D98" s="299"/>
      <c r="E98" s="35"/>
      <c r="F98" s="134" t="s">
        <v>188</v>
      </c>
      <c r="G98" s="232"/>
      <c r="H98" s="134" t="s">
        <v>188</v>
      </c>
    </row>
    <row r="99" spans="1:8" s="13" customFormat="1" ht="28.5" customHeight="1" thickBot="1" x14ac:dyDescent="0.3">
      <c r="A99" s="50" t="s">
        <v>36</v>
      </c>
      <c r="B99" s="30" t="s">
        <v>84</v>
      </c>
      <c r="C99" s="310" t="s">
        <v>99</v>
      </c>
      <c r="D99" s="311"/>
      <c r="E99" s="34"/>
      <c r="F99" s="133" t="s">
        <v>523</v>
      </c>
      <c r="G99" s="105"/>
      <c r="H99" s="133" t="s">
        <v>551</v>
      </c>
    </row>
    <row r="100" spans="1:8" s="13" customFormat="1" ht="12.75" customHeight="1" x14ac:dyDescent="0.25">
      <c r="A100" s="284" t="s">
        <v>60</v>
      </c>
      <c r="B100" s="286" t="s">
        <v>133</v>
      </c>
      <c r="C100" s="288" t="s">
        <v>176</v>
      </c>
      <c r="D100" s="289"/>
      <c r="E100" s="34"/>
      <c r="F100" s="134" t="s">
        <v>452</v>
      </c>
      <c r="G100" s="105"/>
      <c r="H100" s="134" t="s">
        <v>552</v>
      </c>
    </row>
    <row r="101" spans="1:8" s="13" customFormat="1" ht="12.75" customHeight="1" x14ac:dyDescent="0.25">
      <c r="A101" s="292"/>
      <c r="B101" s="293"/>
      <c r="C101" s="294" t="s">
        <v>177</v>
      </c>
      <c r="D101" s="295"/>
      <c r="E101" s="34"/>
      <c r="F101" s="127" t="s">
        <v>462</v>
      </c>
      <c r="G101" s="105"/>
      <c r="H101" s="127">
        <v>3530</v>
      </c>
    </row>
    <row r="102" spans="1:8" s="13" customFormat="1" ht="12.75" customHeight="1" x14ac:dyDescent="0.25">
      <c r="A102" s="292"/>
      <c r="B102" s="293"/>
      <c r="C102" s="294" t="s">
        <v>114</v>
      </c>
      <c r="D102" s="295"/>
      <c r="E102" s="34"/>
      <c r="F102" s="127" t="s">
        <v>468</v>
      </c>
      <c r="G102" s="105"/>
      <c r="H102" s="127">
        <v>316080</v>
      </c>
    </row>
    <row r="103" spans="1:8" s="13" customFormat="1" ht="30.75" customHeight="1" thickBot="1" x14ac:dyDescent="0.3">
      <c r="A103" s="285"/>
      <c r="B103" s="287"/>
      <c r="C103" s="282" t="s">
        <v>115</v>
      </c>
      <c r="D103" s="283"/>
      <c r="E103" s="34"/>
      <c r="F103" s="135" t="s">
        <v>469</v>
      </c>
      <c r="G103" s="105"/>
      <c r="H103" s="135" t="s">
        <v>553</v>
      </c>
    </row>
    <row r="104" spans="1:8" s="13" customFormat="1" ht="12.75" customHeight="1" x14ac:dyDescent="0.25">
      <c r="A104" s="284" t="s">
        <v>61</v>
      </c>
      <c r="B104" s="286" t="s">
        <v>134</v>
      </c>
      <c r="C104" s="288" t="s">
        <v>174</v>
      </c>
      <c r="D104" s="289"/>
      <c r="E104" s="34"/>
      <c r="F104" s="134" t="s">
        <v>452</v>
      </c>
      <c r="G104" s="105"/>
      <c r="H104" s="134" t="s">
        <v>539</v>
      </c>
    </row>
    <row r="105" spans="1:8" s="13" customFormat="1" ht="12.75" customHeight="1" x14ac:dyDescent="0.25">
      <c r="A105" s="292"/>
      <c r="B105" s="293"/>
      <c r="C105" s="294" t="s">
        <v>175</v>
      </c>
      <c r="D105" s="295"/>
      <c r="E105" s="34"/>
      <c r="F105" s="126" t="s">
        <v>461</v>
      </c>
      <c r="G105" s="105"/>
      <c r="H105" s="126">
        <v>3860</v>
      </c>
    </row>
    <row r="106" spans="1:8" s="13" customFormat="1" ht="12.75" customHeight="1" x14ac:dyDescent="0.25">
      <c r="A106" s="292"/>
      <c r="B106" s="293"/>
      <c r="C106" s="294" t="s">
        <v>176</v>
      </c>
      <c r="D106" s="295"/>
      <c r="E106" s="34"/>
      <c r="F106" s="126" t="s">
        <v>452</v>
      </c>
      <c r="G106" s="105"/>
      <c r="H106" s="126" t="s">
        <v>539</v>
      </c>
    </row>
    <row r="107" spans="1:8" s="13" customFormat="1" ht="12.75" customHeight="1" x14ac:dyDescent="0.25">
      <c r="A107" s="292"/>
      <c r="B107" s="293"/>
      <c r="C107" s="294" t="s">
        <v>177</v>
      </c>
      <c r="D107" s="295"/>
      <c r="E107" s="34"/>
      <c r="F107" s="127" t="s">
        <v>462</v>
      </c>
      <c r="G107" s="105"/>
      <c r="H107" s="127">
        <v>3530</v>
      </c>
    </row>
    <row r="108" spans="1:8" s="13" customFormat="1" ht="12.75" customHeight="1" x14ac:dyDescent="0.25">
      <c r="A108" s="292"/>
      <c r="B108" s="293"/>
      <c r="C108" s="294" t="s">
        <v>112</v>
      </c>
      <c r="D108" s="295"/>
      <c r="E108" s="34"/>
      <c r="F108" s="127" t="s">
        <v>475</v>
      </c>
      <c r="G108" s="105"/>
      <c r="H108" s="127" t="s">
        <v>517</v>
      </c>
    </row>
    <row r="109" spans="1:8" s="13" customFormat="1" ht="12.75" customHeight="1" x14ac:dyDescent="0.25">
      <c r="A109" s="292"/>
      <c r="B109" s="293"/>
      <c r="C109" s="294" t="s">
        <v>113</v>
      </c>
      <c r="D109" s="295"/>
      <c r="E109" s="34"/>
      <c r="F109" s="126" t="s">
        <v>476</v>
      </c>
      <c r="G109" s="105"/>
      <c r="H109" s="126" t="s">
        <v>554</v>
      </c>
    </row>
    <row r="110" spans="1:8" s="13" customFormat="1" ht="12.75" customHeight="1" x14ac:dyDescent="0.25">
      <c r="A110" s="292"/>
      <c r="B110" s="293"/>
      <c r="C110" s="294" t="s">
        <v>114</v>
      </c>
      <c r="D110" s="295"/>
      <c r="E110" s="34"/>
      <c r="F110" s="126" t="s">
        <v>475</v>
      </c>
      <c r="G110" s="105"/>
      <c r="H110" s="126" t="s">
        <v>517</v>
      </c>
    </row>
    <row r="111" spans="1:8" s="13" customFormat="1" ht="15.95" customHeight="1" thickBot="1" x14ac:dyDescent="0.3">
      <c r="A111" s="285"/>
      <c r="B111" s="287"/>
      <c r="C111" s="282" t="s">
        <v>115</v>
      </c>
      <c r="D111" s="283"/>
      <c r="E111" s="34"/>
      <c r="F111" s="135" t="s">
        <v>476</v>
      </c>
      <c r="G111" s="105"/>
      <c r="H111" s="135" t="s">
        <v>554</v>
      </c>
    </row>
    <row r="112" spans="1:8" s="13" customFormat="1" ht="144" customHeight="1" thickBot="1" x14ac:dyDescent="0.3">
      <c r="A112" s="54" t="s">
        <v>86</v>
      </c>
      <c r="B112" s="18" t="s">
        <v>143</v>
      </c>
      <c r="C112" s="310" t="s">
        <v>104</v>
      </c>
      <c r="D112" s="311"/>
      <c r="E112" s="34"/>
      <c r="F112" s="134" t="s">
        <v>481</v>
      </c>
      <c r="G112" s="105"/>
      <c r="H112" s="134" t="s">
        <v>555</v>
      </c>
    </row>
    <row r="113" spans="1:8" ht="168.95" customHeight="1" thickBot="1" x14ac:dyDescent="0.25">
      <c r="A113" s="50" t="s">
        <v>85</v>
      </c>
      <c r="B113" s="14" t="s">
        <v>170</v>
      </c>
      <c r="C113" s="310" t="s">
        <v>104</v>
      </c>
      <c r="D113" s="311"/>
      <c r="E113" s="34"/>
      <c r="F113" s="133" t="s">
        <v>482</v>
      </c>
      <c r="G113" s="105"/>
      <c r="H113" s="133" t="s">
        <v>556</v>
      </c>
    </row>
    <row r="114" spans="1:8" ht="38.25" x14ac:dyDescent="0.2">
      <c r="A114" s="284" t="s">
        <v>13</v>
      </c>
      <c r="B114" s="286" t="s">
        <v>98</v>
      </c>
      <c r="C114" s="288" t="s">
        <v>30</v>
      </c>
      <c r="D114" s="289"/>
      <c r="E114" s="34"/>
      <c r="F114" s="134" t="s">
        <v>419</v>
      </c>
      <c r="G114" s="105"/>
      <c r="H114" s="134" t="s">
        <v>557</v>
      </c>
    </row>
    <row r="115" spans="1:8" ht="32.450000000000003" customHeight="1" thickBot="1" x14ac:dyDescent="0.25">
      <c r="A115" s="285"/>
      <c r="B115" s="287"/>
      <c r="C115" s="282" t="s">
        <v>109</v>
      </c>
      <c r="D115" s="283"/>
      <c r="E115" s="34"/>
      <c r="F115" s="135" t="s">
        <v>388</v>
      </c>
      <c r="G115" s="105"/>
      <c r="H115" s="135" t="s">
        <v>388</v>
      </c>
    </row>
    <row r="116" spans="1:8" ht="68.099999999999994" customHeight="1" thickBot="1" x14ac:dyDescent="0.25">
      <c r="A116" s="50" t="s">
        <v>37</v>
      </c>
      <c r="B116" s="30" t="s">
        <v>135</v>
      </c>
      <c r="C116" s="298"/>
      <c r="D116" s="299"/>
      <c r="E116" s="35"/>
      <c r="F116" s="133" t="s">
        <v>471</v>
      </c>
      <c r="G116" s="232"/>
      <c r="H116" s="133" t="s">
        <v>558</v>
      </c>
    </row>
    <row r="117" spans="1:8" ht="42.6" customHeight="1" thickBot="1" x14ac:dyDescent="0.25">
      <c r="A117" s="50" t="s">
        <v>38</v>
      </c>
      <c r="B117" s="30" t="s">
        <v>87</v>
      </c>
      <c r="C117" s="298"/>
      <c r="D117" s="299"/>
      <c r="E117" s="35"/>
      <c r="F117" s="133"/>
      <c r="G117" s="232"/>
      <c r="H117" s="133"/>
    </row>
    <row r="118" spans="1:8" ht="39" thickBot="1" x14ac:dyDescent="0.25">
      <c r="A118" s="50" t="s">
        <v>39</v>
      </c>
      <c r="B118" s="30" t="s">
        <v>106</v>
      </c>
      <c r="C118" s="310" t="s">
        <v>105</v>
      </c>
      <c r="D118" s="311"/>
      <c r="E118" s="34"/>
      <c r="F118" s="133" t="s">
        <v>421</v>
      </c>
      <c r="G118" s="105"/>
      <c r="H118" s="133" t="s">
        <v>189</v>
      </c>
    </row>
    <row r="119" spans="1:8" ht="38.25" customHeight="1" thickBot="1" x14ac:dyDescent="0.25">
      <c r="A119" s="50" t="s">
        <v>90</v>
      </c>
      <c r="B119" s="30" t="s">
        <v>129</v>
      </c>
      <c r="C119" s="298" t="s">
        <v>525</v>
      </c>
      <c r="D119" s="299"/>
      <c r="E119" s="35"/>
      <c r="F119" s="133" t="s">
        <v>524</v>
      </c>
      <c r="G119" s="232"/>
      <c r="H119" s="133" t="s">
        <v>365</v>
      </c>
    </row>
    <row r="120" spans="1:8" ht="39" thickBot="1" x14ac:dyDescent="0.25">
      <c r="A120" s="50" t="s">
        <v>40</v>
      </c>
      <c r="B120" s="30" t="s">
        <v>137</v>
      </c>
      <c r="C120" s="310" t="s">
        <v>100</v>
      </c>
      <c r="D120" s="311"/>
      <c r="E120" s="34"/>
      <c r="F120" s="135" t="s">
        <v>448</v>
      </c>
      <c r="G120" s="105"/>
      <c r="H120" s="135" t="s">
        <v>548</v>
      </c>
    </row>
    <row r="121" spans="1:8" ht="48" customHeight="1" thickBot="1" x14ac:dyDescent="0.25">
      <c r="A121" s="284" t="s">
        <v>14</v>
      </c>
      <c r="B121" s="286" t="s">
        <v>138</v>
      </c>
      <c r="C121" s="310" t="s">
        <v>139</v>
      </c>
      <c r="D121" s="311"/>
      <c r="E121" s="34"/>
      <c r="F121" s="133">
        <v>1</v>
      </c>
      <c r="G121" s="105"/>
      <c r="H121" s="133">
        <v>1</v>
      </c>
    </row>
    <row r="122" spans="1:8" ht="55.5" customHeight="1" thickBot="1" x14ac:dyDescent="0.25">
      <c r="A122" s="285"/>
      <c r="B122" s="287"/>
      <c r="C122" s="310" t="s">
        <v>364</v>
      </c>
      <c r="D122" s="311"/>
      <c r="E122" s="34"/>
      <c r="F122" s="133" t="s">
        <v>526</v>
      </c>
      <c r="G122" s="105"/>
      <c r="H122" s="133" t="s">
        <v>365</v>
      </c>
    </row>
    <row r="123" spans="1:8" ht="66.95" customHeight="1" thickBot="1" x14ac:dyDescent="0.25">
      <c r="A123" s="50" t="s">
        <v>91</v>
      </c>
      <c r="B123" s="30" t="s">
        <v>144</v>
      </c>
      <c r="C123" s="310" t="s">
        <v>100</v>
      </c>
      <c r="D123" s="311"/>
      <c r="E123" s="34"/>
      <c r="F123" s="133" t="s">
        <v>425</v>
      </c>
      <c r="G123" s="105"/>
      <c r="H123" s="133" t="s">
        <v>559</v>
      </c>
    </row>
    <row r="124" spans="1:8" ht="66" customHeight="1" thickBot="1" x14ac:dyDescent="0.25">
      <c r="A124" s="50" t="s">
        <v>92</v>
      </c>
      <c r="B124" s="30" t="s">
        <v>145</v>
      </c>
      <c r="C124" s="298"/>
      <c r="D124" s="299"/>
      <c r="E124" s="35"/>
      <c r="F124" s="133"/>
      <c r="G124" s="232"/>
      <c r="H124" s="133"/>
    </row>
  </sheetData>
  <sheetProtection algorithmName="SHA-512" hashValue="I/+/CApGJbP4vbfhYYbxgErVCrxnOAOsrrbqD7kqTfYAN3O5jf+UcMMFebtGE9XXngiVx2AtQRuFsMnZenwkmg==" saltValue="okdbghQsnZV0LCWES28hew==" spinCount="100000" sheet="1" objects="1" scenarios="1"/>
  <dataConsolidate/>
  <mergeCells count="137">
    <mergeCell ref="C112:D112"/>
    <mergeCell ref="C113:D113"/>
    <mergeCell ref="A114:A115"/>
    <mergeCell ref="B114:B115"/>
    <mergeCell ref="C114:D114"/>
    <mergeCell ref="C115:D115"/>
    <mergeCell ref="C123:D123"/>
    <mergeCell ref="C124:D124"/>
    <mergeCell ref="C116:D116"/>
    <mergeCell ref="C117:D117"/>
    <mergeCell ref="C118:D118"/>
    <mergeCell ref="C119:D119"/>
    <mergeCell ref="C120:D120"/>
    <mergeCell ref="C121:D121"/>
    <mergeCell ref="A121:A122"/>
    <mergeCell ref="B121:B122"/>
    <mergeCell ref="C122:D122"/>
    <mergeCell ref="A104:A111"/>
    <mergeCell ref="B104:B111"/>
    <mergeCell ref="C104:D104"/>
    <mergeCell ref="C105:D105"/>
    <mergeCell ref="C106:D106"/>
    <mergeCell ref="C107:D107"/>
    <mergeCell ref="C108:D108"/>
    <mergeCell ref="C109:D109"/>
    <mergeCell ref="C110:D110"/>
    <mergeCell ref="C111:D111"/>
    <mergeCell ref="C94:D94"/>
    <mergeCell ref="C95:D95"/>
    <mergeCell ref="C96:D96"/>
    <mergeCell ref="C97:D97"/>
    <mergeCell ref="C98:D98"/>
    <mergeCell ref="C99:D99"/>
    <mergeCell ref="A100:A103"/>
    <mergeCell ref="B100:B103"/>
    <mergeCell ref="C100:D100"/>
    <mergeCell ref="C101:D101"/>
    <mergeCell ref="C102:D102"/>
    <mergeCell ref="C103:D103"/>
    <mergeCell ref="A84:D84"/>
    <mergeCell ref="A85:D85"/>
    <mergeCell ref="A86:D86"/>
    <mergeCell ref="A87:D87"/>
    <mergeCell ref="A88:D88"/>
    <mergeCell ref="A89:D89"/>
    <mergeCell ref="A90:D90"/>
    <mergeCell ref="A91:D91"/>
    <mergeCell ref="A93:D93"/>
    <mergeCell ref="A75:D75"/>
    <mergeCell ref="A76:D76"/>
    <mergeCell ref="A77:D77"/>
    <mergeCell ref="A78:D78"/>
    <mergeCell ref="A79:D79"/>
    <mergeCell ref="A80:D80"/>
    <mergeCell ref="A81:D81"/>
    <mergeCell ref="A82:D82"/>
    <mergeCell ref="A83:D83"/>
    <mergeCell ref="C65:D65"/>
    <mergeCell ref="C66:D66"/>
    <mergeCell ref="C67:D67"/>
    <mergeCell ref="C68:D68"/>
    <mergeCell ref="C69:D69"/>
    <mergeCell ref="C70:D70"/>
    <mergeCell ref="A72:D72"/>
    <mergeCell ref="A73:D73"/>
    <mergeCell ref="A74:D74"/>
    <mergeCell ref="C56:D56"/>
    <mergeCell ref="C57:D57"/>
    <mergeCell ref="C58:D58"/>
    <mergeCell ref="C59:D59"/>
    <mergeCell ref="C60:D60"/>
    <mergeCell ref="C61:D61"/>
    <mergeCell ref="C62:D62"/>
    <mergeCell ref="C63:D63"/>
    <mergeCell ref="C64:D64"/>
    <mergeCell ref="A49:A51"/>
    <mergeCell ref="B49:B51"/>
    <mergeCell ref="C49:D49"/>
    <mergeCell ref="C50:D50"/>
    <mergeCell ref="C51:D51"/>
    <mergeCell ref="C52:D52"/>
    <mergeCell ref="A53:A55"/>
    <mergeCell ref="B53:B55"/>
    <mergeCell ref="C53:D53"/>
    <mergeCell ref="C54:D54"/>
    <mergeCell ref="C55:D55"/>
    <mergeCell ref="C40:D40"/>
    <mergeCell ref="A41:A48"/>
    <mergeCell ref="B41:B48"/>
    <mergeCell ref="C41:D41"/>
    <mergeCell ref="C42:D42"/>
    <mergeCell ref="C43:D43"/>
    <mergeCell ref="C44:D44"/>
    <mergeCell ref="C45:D45"/>
    <mergeCell ref="C46:D46"/>
    <mergeCell ref="C47:D47"/>
    <mergeCell ref="C48:D48"/>
    <mergeCell ref="A38:A39"/>
    <mergeCell ref="B38:B39"/>
    <mergeCell ref="C38:D38"/>
    <mergeCell ref="C39:D39"/>
    <mergeCell ref="C30:D30"/>
    <mergeCell ref="A31:A35"/>
    <mergeCell ref="B31:B35"/>
    <mergeCell ref="C31:D31"/>
    <mergeCell ref="C32:D32"/>
    <mergeCell ref="C33:D33"/>
    <mergeCell ref="A3:D3"/>
    <mergeCell ref="A4:D4"/>
    <mergeCell ref="A6:D6"/>
    <mergeCell ref="B8:D8"/>
    <mergeCell ref="B9:D9"/>
    <mergeCell ref="B10:D10"/>
    <mergeCell ref="B11:D11"/>
    <mergeCell ref="B12:D12"/>
    <mergeCell ref="B13:D13"/>
    <mergeCell ref="B22:D22"/>
    <mergeCell ref="B23:D23"/>
    <mergeCell ref="B14:D14"/>
    <mergeCell ref="B15:D15"/>
    <mergeCell ref="B16:D16"/>
    <mergeCell ref="A36:A37"/>
    <mergeCell ref="B36:B37"/>
    <mergeCell ref="C36:D36"/>
    <mergeCell ref="C37:D37"/>
    <mergeCell ref="B17:D17"/>
    <mergeCell ref="A19:D19"/>
    <mergeCell ref="B21:D21"/>
    <mergeCell ref="C34:D34"/>
    <mergeCell ref="C35:D35"/>
    <mergeCell ref="A25:D25"/>
    <mergeCell ref="C26:D26"/>
    <mergeCell ref="C27:D27"/>
    <mergeCell ref="A28:A29"/>
    <mergeCell ref="B28:B29"/>
    <mergeCell ref="C28:D28"/>
    <mergeCell ref="C29:D29"/>
  </mergeCells>
  <conditionalFormatting sqref="C58">
    <cfRule type="expression" dxfId="187" priority="54">
      <formula>#REF!="NO"</formula>
    </cfRule>
  </conditionalFormatting>
  <conditionalFormatting sqref="C122 E122">
    <cfRule type="expression" dxfId="186" priority="49">
      <formula>#REF!="NO"</formula>
    </cfRule>
  </conditionalFormatting>
  <conditionalFormatting sqref="C52:D55">
    <cfRule type="expression" dxfId="185" priority="43">
      <formula>$H$2="NO"</formula>
    </cfRule>
  </conditionalFormatting>
  <conditionalFormatting sqref="C27:E51">
    <cfRule type="expression" dxfId="184" priority="38">
      <formula>#REF!="NO"</formula>
    </cfRule>
  </conditionalFormatting>
  <conditionalFormatting sqref="C95:E121">
    <cfRule type="expression" dxfId="183" priority="37">
      <formula>#REF!="NO"</formula>
    </cfRule>
  </conditionalFormatting>
  <conditionalFormatting sqref="E52:E55 C56:E70 C123:E124">
    <cfRule type="expression" dxfId="182" priority="55">
      <formula>#REF!="NO"</formula>
    </cfRule>
  </conditionalFormatting>
  <conditionalFormatting sqref="E74:H91">
    <cfRule type="expression" dxfId="181" priority="2">
      <formula>#REF!="NO"</formula>
    </cfRule>
  </conditionalFormatting>
  <conditionalFormatting sqref="F8:F17">
    <cfRule type="expression" dxfId="180" priority="14">
      <formula>#REF!="NO"</formula>
    </cfRule>
  </conditionalFormatting>
  <conditionalFormatting sqref="F21:F23">
    <cfRule type="expression" dxfId="179" priority="23">
      <formula>#REF!="NO"</formula>
    </cfRule>
  </conditionalFormatting>
  <conditionalFormatting sqref="F95:H124">
    <cfRule type="expression" dxfId="178" priority="1">
      <formula>#REF!="NO"</formula>
    </cfRule>
  </conditionalFormatting>
  <conditionalFormatting sqref="F27:I70">
    <cfRule type="expression" dxfId="177" priority="8">
      <formula>#REF!="NO"</formula>
    </cfRule>
  </conditionalFormatting>
  <conditionalFormatting sqref="H8:H17">
    <cfRule type="expression" dxfId="176" priority="34">
      <formula>#REF!="NO"</formula>
    </cfRule>
  </conditionalFormatting>
  <conditionalFormatting sqref="H21:H23">
    <cfRule type="expression" dxfId="175" priority="50">
      <formula>#REF!="NO"</formula>
    </cfRule>
  </conditionalFormatting>
  <conditionalFormatting sqref="H52">
    <cfRule type="expression" dxfId="174" priority="47">
      <formula>#REF!="NO"</formula>
    </cfRule>
  </conditionalFormatting>
  <conditionalFormatting sqref="H58:H70">
    <cfRule type="expression" dxfId="173" priority="48">
      <formula>#REF!="NO"</formula>
    </cfRule>
  </conditionalFormatting>
  <dataValidations count="3">
    <dataValidation type="decimal" operator="greaterThanOrEqual" allowBlank="1" showInputMessage="1" showErrorMessage="1" error="The Pickup Allowance cannot be a negative number." sqref="F16 H16" xr:uid="{00000000-0002-0000-0300-000002000000}">
      <formula1>0</formula1>
    </dataValidation>
    <dataValidation type="decimal" allowBlank="1" showInputMessage="1" showErrorMessage="1" error="Invalid Entry - Bidder must enter a value that is greater than $0" sqref="F21 H21" xr:uid="{00000000-0002-0000-0300-000001000000}">
      <formula1>0</formula1>
      <formula2>9E+21</formula2>
    </dataValidation>
    <dataValidation type="decimal" allowBlank="1" showInputMessage="1" showErrorMessage="1" error="The Additional Options NYS Discount entered must be greater than 0%, or less than or equal to 100%." sqref="F23 H23" xr:uid="{00000000-0002-0000-0300-000000000000}">
      <formula1>0.01</formula1>
      <formula2>100</formula2>
    </dataValidation>
  </dataValidations>
  <pageMargins left="0.25" right="0.25" top="0.5" bottom="0.25" header="0.3" footer="0.3"/>
  <pageSetup scale="81" fitToHeight="0" orientation="landscape" r:id="rId1"/>
  <rowBreaks count="2" manualBreakCount="2">
    <brk id="70" max="5" man="1"/>
    <brk id="113"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66FF"/>
    <pageSetUpPr autoPageBreaks="0" fitToPage="1"/>
  </sheetPr>
  <dimension ref="A1:I130"/>
  <sheetViews>
    <sheetView showGridLines="0" zoomScaleNormal="100" zoomScaleSheetLayoutView="100" workbookViewId="0">
      <selection activeCell="A3" sqref="A3:D3"/>
    </sheetView>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6" width="22" style="106" customWidth="1"/>
    <col min="7" max="7" width="2.7109375" style="107" customWidth="1"/>
    <col min="8" max="8" width="22.28515625" style="106" bestFit="1" customWidth="1"/>
    <col min="9" max="16384" width="9.140625" style="2"/>
  </cols>
  <sheetData>
    <row r="1" spans="1:9" ht="18" customHeight="1" x14ac:dyDescent="0.2">
      <c r="A1" s="235" t="str">
        <f>'A (Item 2-G)'!$A$1</f>
        <v>GROUP 40524-23254, SCHOOL BUSES (Statewide)                                                             Attachment 1 - Specifications and Pricing (Revised October 15, 2026)</v>
      </c>
      <c r="F1" s="107"/>
      <c r="H1" s="107"/>
    </row>
    <row r="2" spans="1:9" s="25" customFormat="1" ht="18" customHeight="1" thickBot="1" x14ac:dyDescent="0.3">
      <c r="A2" s="144" t="str">
        <f>'Attachment 1 - Summary'!B2</f>
        <v>PC69861 Leonard Bus Sales, Inc.</v>
      </c>
      <c r="B2" s="26"/>
      <c r="C2" s="26"/>
      <c r="D2" s="26"/>
      <c r="E2" s="26"/>
      <c r="F2" s="143"/>
      <c r="G2" s="143"/>
      <c r="H2" s="143"/>
      <c r="I2" s="26"/>
    </row>
    <row r="3" spans="1:9" ht="24" thickBot="1" x14ac:dyDescent="0.25">
      <c r="A3" s="270" t="s">
        <v>171</v>
      </c>
      <c r="B3" s="271"/>
      <c r="C3" s="271"/>
      <c r="D3" s="272"/>
      <c r="E3" s="9"/>
      <c r="F3" s="145"/>
      <c r="G3" s="145"/>
      <c r="H3" s="145"/>
    </row>
    <row r="4" spans="1:9" ht="51" customHeight="1" thickBot="1" x14ac:dyDescent="0.25">
      <c r="A4" s="273" t="s">
        <v>172</v>
      </c>
      <c r="B4" s="274"/>
      <c r="C4" s="274"/>
      <c r="D4" s="275"/>
      <c r="E4" s="9"/>
      <c r="F4" s="145"/>
      <c r="G4" s="145"/>
      <c r="H4" s="145"/>
    </row>
    <row r="5" spans="1:9" s="4" customFormat="1" ht="11.25" customHeight="1" thickBot="1" x14ac:dyDescent="0.3">
      <c r="A5" s="57"/>
      <c r="B5" s="57"/>
      <c r="C5" s="57"/>
      <c r="D5" s="57"/>
      <c r="E5" s="57"/>
      <c r="F5" s="123"/>
      <c r="G5" s="123"/>
      <c r="H5" s="123"/>
    </row>
    <row r="6" spans="1:9" s="8" customFormat="1" ht="32.25" thickBot="1" x14ac:dyDescent="0.25">
      <c r="A6" s="276" t="s">
        <v>151</v>
      </c>
      <c r="B6" s="277"/>
      <c r="C6" s="277"/>
      <c r="D6" s="278"/>
      <c r="E6" s="36"/>
      <c r="F6" s="95" t="s">
        <v>503</v>
      </c>
      <c r="G6" s="96"/>
      <c r="H6" s="95" t="s">
        <v>492</v>
      </c>
    </row>
    <row r="7" spans="1:9" s="4" customFormat="1" ht="15" customHeight="1" thickBot="1" x14ac:dyDescent="0.3">
      <c r="A7" s="41" t="s">
        <v>6</v>
      </c>
      <c r="B7" s="27" t="s">
        <v>165</v>
      </c>
      <c r="C7" s="32"/>
      <c r="D7" s="40"/>
      <c r="E7" s="37"/>
      <c r="F7" s="97" t="s">
        <v>17</v>
      </c>
      <c r="G7" s="98"/>
      <c r="H7" s="97" t="s">
        <v>17</v>
      </c>
    </row>
    <row r="8" spans="1:9" ht="52.5" thickTop="1" thickBot="1" x14ac:dyDescent="0.25">
      <c r="A8" s="42" t="s">
        <v>9</v>
      </c>
      <c r="B8" s="267" t="s">
        <v>152</v>
      </c>
      <c r="C8" s="268"/>
      <c r="D8" s="269"/>
      <c r="E8" s="13"/>
      <c r="F8" s="207" t="s">
        <v>459</v>
      </c>
      <c r="G8" s="99"/>
      <c r="H8" s="207" t="s">
        <v>472</v>
      </c>
    </row>
    <row r="9" spans="1:9" s="8" customFormat="1" ht="44.25" customHeight="1" thickTop="1" thickBot="1" x14ac:dyDescent="0.25">
      <c r="A9" s="42" t="s">
        <v>136</v>
      </c>
      <c r="B9" s="267" t="s">
        <v>196</v>
      </c>
      <c r="C9" s="268"/>
      <c r="D9" s="269"/>
      <c r="E9" s="13"/>
      <c r="F9" s="207" t="s">
        <v>489</v>
      </c>
      <c r="G9" s="99"/>
      <c r="H9" s="207" t="s">
        <v>493</v>
      </c>
    </row>
    <row r="10" spans="1:9" ht="12.75" customHeight="1" thickTop="1" x14ac:dyDescent="0.2">
      <c r="A10" s="43" t="s">
        <v>0</v>
      </c>
      <c r="B10" s="258" t="s">
        <v>154</v>
      </c>
      <c r="C10" s="259"/>
      <c r="D10" s="260"/>
      <c r="E10" s="13"/>
      <c r="F10" s="127" t="s">
        <v>399</v>
      </c>
      <c r="G10" s="99"/>
      <c r="H10" s="127" t="s">
        <v>180</v>
      </c>
    </row>
    <row r="11" spans="1:9" x14ac:dyDescent="0.2">
      <c r="A11" s="43" t="s">
        <v>1</v>
      </c>
      <c r="B11" s="258" t="s">
        <v>153</v>
      </c>
      <c r="C11" s="259"/>
      <c r="D11" s="260"/>
      <c r="E11" s="13"/>
      <c r="F11" s="127">
        <v>3500</v>
      </c>
      <c r="G11" s="99"/>
      <c r="H11" s="127" t="s">
        <v>473</v>
      </c>
    </row>
    <row r="12" spans="1:9" ht="12.75" customHeight="1" thickBot="1" x14ac:dyDescent="0.25">
      <c r="A12" s="44" t="s">
        <v>2</v>
      </c>
      <c r="B12" s="261" t="s">
        <v>155</v>
      </c>
      <c r="C12" s="262"/>
      <c r="D12" s="263"/>
      <c r="E12" s="13"/>
      <c r="F12" s="128" t="s">
        <v>393</v>
      </c>
      <c r="G12" s="99"/>
      <c r="H12" s="128" t="s">
        <v>181</v>
      </c>
    </row>
    <row r="13" spans="1:9" ht="13.5" thickTop="1" x14ac:dyDescent="0.2">
      <c r="A13" s="43" t="s">
        <v>3</v>
      </c>
      <c r="B13" s="258" t="s">
        <v>157</v>
      </c>
      <c r="C13" s="259"/>
      <c r="D13" s="260"/>
      <c r="E13" s="13"/>
      <c r="F13" s="127" t="s">
        <v>400</v>
      </c>
      <c r="G13" s="99"/>
      <c r="H13" s="127" t="s">
        <v>400</v>
      </c>
    </row>
    <row r="14" spans="1:9" x14ac:dyDescent="0.2">
      <c r="A14" s="43" t="s">
        <v>4</v>
      </c>
      <c r="B14" s="258" t="s">
        <v>156</v>
      </c>
      <c r="C14" s="259"/>
      <c r="D14" s="260"/>
      <c r="E14" s="13"/>
      <c r="F14" s="127" t="s">
        <v>456</v>
      </c>
      <c r="G14" s="99"/>
      <c r="H14" s="127" t="s">
        <v>456</v>
      </c>
    </row>
    <row r="15" spans="1:9" ht="15.75" customHeight="1" thickBot="1" x14ac:dyDescent="0.25">
      <c r="A15" s="45" t="s">
        <v>5</v>
      </c>
      <c r="B15" s="261" t="s">
        <v>158</v>
      </c>
      <c r="C15" s="262"/>
      <c r="D15" s="263"/>
      <c r="E15" s="13"/>
      <c r="F15" s="129" t="s">
        <v>455</v>
      </c>
      <c r="G15" s="99"/>
      <c r="H15" s="129" t="s">
        <v>494</v>
      </c>
    </row>
    <row r="16" spans="1:9" ht="29.25" customHeight="1" thickTop="1" x14ac:dyDescent="0.2">
      <c r="A16" s="43" t="s">
        <v>101</v>
      </c>
      <c r="B16" s="264" t="s">
        <v>160</v>
      </c>
      <c r="C16" s="265"/>
      <c r="D16" s="266"/>
      <c r="E16" s="13"/>
      <c r="F16" s="130">
        <v>0</v>
      </c>
      <c r="G16" s="99"/>
      <c r="H16" s="130">
        <v>0</v>
      </c>
    </row>
    <row r="17" spans="1:8" ht="30.75" customHeight="1" thickBot="1" x14ac:dyDescent="0.25">
      <c r="A17" s="45" t="s">
        <v>43</v>
      </c>
      <c r="B17" s="261" t="s">
        <v>159</v>
      </c>
      <c r="C17" s="262"/>
      <c r="D17" s="263"/>
      <c r="E17" s="13"/>
      <c r="F17" s="129" t="s">
        <v>402</v>
      </c>
      <c r="G17" s="99"/>
      <c r="H17" s="129" t="s">
        <v>402</v>
      </c>
    </row>
    <row r="18" spans="1:8" s="10" customFormat="1" ht="14.25" thickTop="1" thickBot="1" x14ac:dyDescent="0.25">
      <c r="C18" s="11"/>
      <c r="D18" s="11"/>
      <c r="E18" s="11"/>
      <c r="F18" s="100"/>
      <c r="G18" s="100"/>
      <c r="H18" s="100"/>
    </row>
    <row r="19" spans="1:8" s="12" customFormat="1" ht="32.25" thickBot="1" x14ac:dyDescent="0.25">
      <c r="A19" s="276" t="s">
        <v>150</v>
      </c>
      <c r="B19" s="277"/>
      <c r="C19" s="277"/>
      <c r="D19" s="278"/>
      <c r="E19" s="36"/>
      <c r="F19" s="95" t="s">
        <v>503</v>
      </c>
      <c r="G19" s="96"/>
      <c r="H19" s="95" t="s">
        <v>492</v>
      </c>
    </row>
    <row r="20" spans="1:8" s="4" customFormat="1" ht="15" customHeight="1" thickBot="1" x14ac:dyDescent="0.3">
      <c r="A20" s="55" t="s">
        <v>6</v>
      </c>
      <c r="B20" s="31" t="s">
        <v>165</v>
      </c>
      <c r="C20" s="33"/>
      <c r="D20" s="48"/>
      <c r="E20" s="37"/>
      <c r="F20" s="97" t="s">
        <v>17</v>
      </c>
      <c r="G20" s="98"/>
      <c r="H20" s="97" t="s">
        <v>17</v>
      </c>
    </row>
    <row r="21" spans="1:8" ht="56.25" customHeight="1" x14ac:dyDescent="0.2">
      <c r="A21" s="46" t="s">
        <v>42</v>
      </c>
      <c r="B21" s="279" t="s">
        <v>161</v>
      </c>
      <c r="C21" s="280"/>
      <c r="D21" s="281"/>
      <c r="E21" s="13"/>
      <c r="F21" s="208">
        <f>68114*('PPI Adj'!D6)</f>
        <v>79489.038</v>
      </c>
      <c r="G21" s="99"/>
      <c r="H21" s="208">
        <f>75225*('PPI Adj'!D6)</f>
        <v>87787.574999999997</v>
      </c>
    </row>
    <row r="22" spans="1:8" ht="42.75" customHeight="1" x14ac:dyDescent="0.2">
      <c r="A22" s="43" t="s">
        <v>20</v>
      </c>
      <c r="B22" s="258" t="s">
        <v>162</v>
      </c>
      <c r="C22" s="259"/>
      <c r="D22" s="260"/>
      <c r="E22" s="13"/>
      <c r="F22" s="231">
        <f>483*('PPI Adj'!D6)</f>
        <v>563.66100000000006</v>
      </c>
      <c r="G22" s="99"/>
      <c r="H22" s="231" t="s">
        <v>182</v>
      </c>
    </row>
    <row r="23" spans="1:8" ht="33" customHeight="1" thickBot="1" x14ac:dyDescent="0.25">
      <c r="A23" s="47" t="s">
        <v>41</v>
      </c>
      <c r="B23" s="300" t="s">
        <v>163</v>
      </c>
      <c r="C23" s="301"/>
      <c r="D23" s="302"/>
      <c r="E23" s="1"/>
      <c r="F23" s="214">
        <v>5</v>
      </c>
      <c r="G23" s="101"/>
      <c r="H23" s="214">
        <v>5</v>
      </c>
    </row>
    <row r="24" spans="1:8" ht="13.5" thickBot="1" x14ac:dyDescent="0.25">
      <c r="A24" s="58"/>
      <c r="B24" s="1"/>
      <c r="C24" s="1"/>
      <c r="D24" s="1"/>
      <c r="E24" s="1"/>
      <c r="F24" s="102"/>
      <c r="G24" s="101"/>
      <c r="H24" s="102"/>
    </row>
    <row r="25" spans="1:8" s="8" customFormat="1" ht="32.25" thickBot="1" x14ac:dyDescent="0.25">
      <c r="A25" s="303" t="s">
        <v>164</v>
      </c>
      <c r="B25" s="304"/>
      <c r="C25" s="304"/>
      <c r="D25" s="305"/>
      <c r="E25" s="38"/>
      <c r="F25" s="95" t="s">
        <v>503</v>
      </c>
      <c r="G25" s="103"/>
      <c r="H25" s="95" t="s">
        <v>492</v>
      </c>
    </row>
    <row r="26" spans="1:8" s="3" customFormat="1" ht="15" customHeight="1" thickBot="1" x14ac:dyDescent="0.3">
      <c r="A26" s="55" t="s">
        <v>6</v>
      </c>
      <c r="B26" s="56" t="s">
        <v>7</v>
      </c>
      <c r="C26" s="306" t="s">
        <v>165</v>
      </c>
      <c r="D26" s="307"/>
      <c r="E26" s="39"/>
      <c r="F26" s="97" t="s">
        <v>17</v>
      </c>
      <c r="G26" s="104"/>
      <c r="H26" s="97" t="s">
        <v>17</v>
      </c>
    </row>
    <row r="27" spans="1:8" s="13" customFormat="1" ht="39" thickBot="1" x14ac:dyDescent="0.3">
      <c r="A27" s="49" t="s">
        <v>8</v>
      </c>
      <c r="B27" s="29" t="s">
        <v>131</v>
      </c>
      <c r="C27" s="282" t="s">
        <v>118</v>
      </c>
      <c r="D27" s="283"/>
      <c r="E27" s="34"/>
      <c r="F27" s="133">
        <v>12300</v>
      </c>
      <c r="G27" s="105"/>
      <c r="H27" s="133">
        <v>12500</v>
      </c>
    </row>
    <row r="28" spans="1:8" s="13" customFormat="1" x14ac:dyDescent="0.25">
      <c r="A28" s="284" t="s">
        <v>21</v>
      </c>
      <c r="B28" s="286" t="s">
        <v>173</v>
      </c>
      <c r="C28" s="288" t="s">
        <v>67</v>
      </c>
      <c r="D28" s="289"/>
      <c r="E28" s="34"/>
      <c r="F28" s="134">
        <v>4</v>
      </c>
      <c r="G28" s="105"/>
      <c r="H28" s="134">
        <v>4</v>
      </c>
    </row>
    <row r="29" spans="1:8" s="13" customFormat="1" ht="13.5" thickBot="1" x14ac:dyDescent="0.3">
      <c r="A29" s="285"/>
      <c r="B29" s="287"/>
      <c r="C29" s="282" t="s">
        <v>68</v>
      </c>
      <c r="D29" s="283"/>
      <c r="E29" s="34"/>
      <c r="F29" s="135" t="s">
        <v>490</v>
      </c>
      <c r="G29" s="105"/>
      <c r="H29" s="135" t="s">
        <v>490</v>
      </c>
    </row>
    <row r="30" spans="1:8" s="13" customFormat="1" ht="13.5" thickBot="1" x14ac:dyDescent="0.3">
      <c r="A30" s="50" t="s">
        <v>123</v>
      </c>
      <c r="B30" s="30" t="s">
        <v>108</v>
      </c>
      <c r="C30" s="298"/>
      <c r="D30" s="299"/>
      <c r="E30" s="35"/>
      <c r="F30" s="133"/>
      <c r="G30" s="232"/>
      <c r="H30" s="133"/>
    </row>
    <row r="31" spans="1:8" s="13" customFormat="1" x14ac:dyDescent="0.25">
      <c r="A31" s="284" t="s">
        <v>59</v>
      </c>
      <c r="B31" s="286"/>
      <c r="C31" s="288" t="s">
        <v>58</v>
      </c>
      <c r="D31" s="289"/>
      <c r="E31" s="34"/>
      <c r="F31" s="134">
        <v>139</v>
      </c>
      <c r="G31" s="105"/>
      <c r="H31" s="134">
        <v>158</v>
      </c>
    </row>
    <row r="32" spans="1:8" s="13" customFormat="1" x14ac:dyDescent="0.25">
      <c r="A32" s="292"/>
      <c r="B32" s="293"/>
      <c r="C32" s="294" t="s">
        <v>57</v>
      </c>
      <c r="D32" s="295"/>
      <c r="E32" s="34"/>
      <c r="F32" s="127">
        <v>242</v>
      </c>
      <c r="G32" s="105"/>
      <c r="H32" s="127">
        <v>281</v>
      </c>
    </row>
    <row r="33" spans="1:8" s="13" customFormat="1" x14ac:dyDescent="0.25">
      <c r="A33" s="292"/>
      <c r="B33" s="293"/>
      <c r="C33" s="294" t="s">
        <v>69</v>
      </c>
      <c r="D33" s="295"/>
      <c r="E33" s="34"/>
      <c r="F33" s="127">
        <v>90</v>
      </c>
      <c r="G33" s="105"/>
      <c r="H33" s="127">
        <v>90</v>
      </c>
    </row>
    <row r="34" spans="1:8" s="13" customFormat="1" x14ac:dyDescent="0.25">
      <c r="A34" s="292"/>
      <c r="B34" s="293"/>
      <c r="C34" s="296" t="s">
        <v>70</v>
      </c>
      <c r="D34" s="297"/>
      <c r="E34" s="34"/>
      <c r="F34" s="127">
        <v>75</v>
      </c>
      <c r="G34" s="105"/>
      <c r="H34" s="127">
        <v>75</v>
      </c>
    </row>
    <row r="35" spans="1:8" s="13" customFormat="1" ht="13.5" thickBot="1" x14ac:dyDescent="0.3">
      <c r="A35" s="285"/>
      <c r="B35" s="287"/>
      <c r="C35" s="282" t="s">
        <v>111</v>
      </c>
      <c r="D35" s="283"/>
      <c r="E35" s="34"/>
      <c r="F35" s="135">
        <v>178</v>
      </c>
      <c r="G35" s="105"/>
      <c r="H35" s="135">
        <v>193</v>
      </c>
    </row>
    <row r="36" spans="1:8" s="13" customFormat="1" x14ac:dyDescent="0.25">
      <c r="A36" s="284" t="s">
        <v>11</v>
      </c>
      <c r="B36" s="286"/>
      <c r="C36" s="288" t="s">
        <v>24</v>
      </c>
      <c r="D36" s="289"/>
      <c r="E36" s="34"/>
      <c r="F36" s="134">
        <v>4300</v>
      </c>
      <c r="G36" s="105"/>
      <c r="H36" s="134">
        <v>4600</v>
      </c>
    </row>
    <row r="37" spans="1:8" s="13" customFormat="1" ht="13.5" thickBot="1" x14ac:dyDescent="0.3">
      <c r="A37" s="285"/>
      <c r="B37" s="287"/>
      <c r="C37" s="282" t="s">
        <v>22</v>
      </c>
      <c r="D37" s="283"/>
      <c r="E37" s="34"/>
      <c r="F37" s="135">
        <v>4300</v>
      </c>
      <c r="G37" s="105"/>
      <c r="H37" s="135">
        <v>4600</v>
      </c>
    </row>
    <row r="38" spans="1:8" s="13" customFormat="1" x14ac:dyDescent="0.25">
      <c r="A38" s="284" t="s">
        <v>16</v>
      </c>
      <c r="B38" s="286"/>
      <c r="C38" s="288" t="s">
        <v>24</v>
      </c>
      <c r="D38" s="289"/>
      <c r="E38" s="34"/>
      <c r="F38" s="134">
        <v>8600</v>
      </c>
      <c r="G38" s="105"/>
      <c r="H38" s="134">
        <v>8500</v>
      </c>
    </row>
    <row r="39" spans="1:8" s="13" customFormat="1" ht="13.5" thickBot="1" x14ac:dyDescent="0.3">
      <c r="A39" s="285"/>
      <c r="B39" s="287"/>
      <c r="C39" s="290" t="s">
        <v>23</v>
      </c>
      <c r="D39" s="291"/>
      <c r="E39" s="34"/>
      <c r="F39" s="135">
        <v>8600</v>
      </c>
      <c r="G39" s="105"/>
      <c r="H39" s="135">
        <v>8500</v>
      </c>
    </row>
    <row r="40" spans="1:8" s="13" customFormat="1" ht="13.5" thickBot="1" x14ac:dyDescent="0.3">
      <c r="A40" s="50" t="s">
        <v>52</v>
      </c>
      <c r="B40" s="30" t="s">
        <v>53</v>
      </c>
      <c r="C40" s="298"/>
      <c r="D40" s="299"/>
      <c r="E40" s="35"/>
      <c r="F40" s="133"/>
      <c r="G40" s="232"/>
      <c r="H40" s="133"/>
    </row>
    <row r="41" spans="1:8" s="13" customFormat="1" ht="13.5" customHeight="1" thickBot="1" x14ac:dyDescent="0.3">
      <c r="A41" s="308" t="s">
        <v>12</v>
      </c>
      <c r="B41" s="309" t="s">
        <v>142</v>
      </c>
      <c r="C41" s="288" t="s">
        <v>174</v>
      </c>
      <c r="D41" s="289"/>
      <c r="E41" s="34"/>
      <c r="F41" s="134" t="s">
        <v>452</v>
      </c>
      <c r="G41" s="105"/>
      <c r="H41" s="134" t="s">
        <v>474</v>
      </c>
    </row>
    <row r="42" spans="1:8" s="13" customFormat="1" ht="13.5" customHeight="1" thickBot="1" x14ac:dyDescent="0.3">
      <c r="A42" s="308"/>
      <c r="B42" s="309"/>
      <c r="C42" s="294" t="s">
        <v>175</v>
      </c>
      <c r="D42" s="295"/>
      <c r="E42" s="34"/>
      <c r="F42" s="127" t="s">
        <v>461</v>
      </c>
      <c r="G42" s="105"/>
      <c r="H42" s="127" t="s">
        <v>461</v>
      </c>
    </row>
    <row r="43" spans="1:8" s="13" customFormat="1" ht="13.5" customHeight="1" thickBot="1" x14ac:dyDescent="0.3">
      <c r="A43" s="308"/>
      <c r="B43" s="309"/>
      <c r="C43" s="294" t="s">
        <v>176</v>
      </c>
      <c r="D43" s="295"/>
      <c r="E43" s="34"/>
      <c r="F43" s="126" t="s">
        <v>452</v>
      </c>
      <c r="G43" s="105"/>
      <c r="H43" s="126" t="s">
        <v>474</v>
      </c>
    </row>
    <row r="44" spans="1:8" s="13" customFormat="1" ht="13.5" customHeight="1" thickBot="1" x14ac:dyDescent="0.3">
      <c r="A44" s="308"/>
      <c r="B44" s="309"/>
      <c r="C44" s="294" t="s">
        <v>177</v>
      </c>
      <c r="D44" s="295"/>
      <c r="E44" s="34"/>
      <c r="F44" s="127" t="s">
        <v>462</v>
      </c>
      <c r="G44" s="105"/>
      <c r="H44" s="127" t="s">
        <v>462</v>
      </c>
    </row>
    <row r="45" spans="1:8" s="13" customFormat="1" ht="13.5" customHeight="1" thickBot="1" x14ac:dyDescent="0.3">
      <c r="A45" s="308"/>
      <c r="B45" s="309"/>
      <c r="C45" s="294" t="s">
        <v>112</v>
      </c>
      <c r="D45" s="295"/>
      <c r="E45" s="34"/>
      <c r="F45" s="127" t="s">
        <v>463</v>
      </c>
      <c r="G45" s="105"/>
      <c r="H45" s="127" t="s">
        <v>475</v>
      </c>
    </row>
    <row r="46" spans="1:8" s="13" customFormat="1" ht="13.5" customHeight="1" thickBot="1" x14ac:dyDescent="0.3">
      <c r="A46" s="308"/>
      <c r="B46" s="309"/>
      <c r="C46" s="294" t="s">
        <v>113</v>
      </c>
      <c r="D46" s="295"/>
      <c r="E46" s="34"/>
      <c r="F46" s="127" t="s">
        <v>184</v>
      </c>
      <c r="G46" s="105"/>
      <c r="H46" s="127" t="s">
        <v>476</v>
      </c>
    </row>
    <row r="47" spans="1:8" s="13" customFormat="1" ht="13.5" customHeight="1" thickBot="1" x14ac:dyDescent="0.3">
      <c r="A47" s="308"/>
      <c r="B47" s="309"/>
      <c r="C47" s="296" t="s">
        <v>114</v>
      </c>
      <c r="D47" s="297"/>
      <c r="E47" s="34"/>
      <c r="F47" s="127" t="s">
        <v>464</v>
      </c>
      <c r="G47" s="105"/>
      <c r="H47" s="127" t="s">
        <v>475</v>
      </c>
    </row>
    <row r="48" spans="1:8" s="13" customFormat="1" ht="13.5" customHeight="1" thickBot="1" x14ac:dyDescent="0.3">
      <c r="A48" s="308"/>
      <c r="B48" s="309"/>
      <c r="C48" s="282" t="s">
        <v>115</v>
      </c>
      <c r="D48" s="283"/>
      <c r="E48" s="34"/>
      <c r="F48" s="135" t="s">
        <v>184</v>
      </c>
      <c r="G48" s="105"/>
      <c r="H48" s="135" t="s">
        <v>476</v>
      </c>
    </row>
    <row r="49" spans="1:8" s="13" customFormat="1" x14ac:dyDescent="0.25">
      <c r="A49" s="284" t="s">
        <v>10</v>
      </c>
      <c r="B49" s="286" t="s">
        <v>62</v>
      </c>
      <c r="C49" s="288" t="s">
        <v>116</v>
      </c>
      <c r="D49" s="289"/>
      <c r="E49" s="34"/>
      <c r="F49" s="134" t="s">
        <v>465</v>
      </c>
      <c r="G49" s="105"/>
      <c r="H49" s="134" t="s">
        <v>465</v>
      </c>
    </row>
    <row r="50" spans="1:8" s="13" customFormat="1" x14ac:dyDescent="0.25">
      <c r="A50" s="292"/>
      <c r="B50" s="293"/>
      <c r="C50" s="294" t="s">
        <v>117</v>
      </c>
      <c r="D50" s="295"/>
      <c r="E50" s="34"/>
      <c r="F50" s="127" t="s">
        <v>390</v>
      </c>
      <c r="G50" s="105"/>
      <c r="H50" s="127" t="s">
        <v>390</v>
      </c>
    </row>
    <row r="51" spans="1:8" s="13" customFormat="1" ht="13.5" thickBot="1" x14ac:dyDescent="0.3">
      <c r="A51" s="292"/>
      <c r="B51" s="293"/>
      <c r="C51" s="290" t="s">
        <v>71</v>
      </c>
      <c r="D51" s="291"/>
      <c r="E51" s="34"/>
      <c r="F51" s="136" t="s">
        <v>466</v>
      </c>
      <c r="G51" s="105"/>
      <c r="H51" s="136" t="s">
        <v>478</v>
      </c>
    </row>
    <row r="52" spans="1:8" s="13" customFormat="1" ht="78" customHeight="1" thickBot="1" x14ac:dyDescent="0.3">
      <c r="A52" s="51" t="s">
        <v>9</v>
      </c>
      <c r="B52" s="28" t="s">
        <v>140</v>
      </c>
      <c r="C52" s="296"/>
      <c r="D52" s="297"/>
      <c r="E52" s="34"/>
      <c r="F52" s="134"/>
      <c r="G52" s="105"/>
      <c r="H52" s="134"/>
    </row>
    <row r="53" spans="1:8" s="13" customFormat="1" x14ac:dyDescent="0.25">
      <c r="A53" s="284" t="s">
        <v>25</v>
      </c>
      <c r="B53" s="286" t="s">
        <v>93</v>
      </c>
      <c r="C53" s="288" t="s">
        <v>72</v>
      </c>
      <c r="D53" s="289"/>
      <c r="E53" s="34"/>
      <c r="F53" s="134" t="s">
        <v>408</v>
      </c>
      <c r="G53" s="105"/>
      <c r="H53" s="134" t="s">
        <v>479</v>
      </c>
    </row>
    <row r="54" spans="1:8" s="13" customFormat="1" ht="68.099999999999994" customHeight="1" thickBot="1" x14ac:dyDescent="0.3">
      <c r="A54" s="285"/>
      <c r="B54" s="287"/>
      <c r="C54" s="282" t="s">
        <v>73</v>
      </c>
      <c r="D54" s="283"/>
      <c r="E54" s="34"/>
      <c r="F54" s="135">
        <v>220</v>
      </c>
      <c r="G54" s="105"/>
      <c r="H54" s="135">
        <v>220</v>
      </c>
    </row>
    <row r="55" spans="1:8" s="13" customFormat="1" x14ac:dyDescent="0.25">
      <c r="A55" s="284" t="s">
        <v>26</v>
      </c>
      <c r="B55" s="286"/>
      <c r="C55" s="288" t="s">
        <v>74</v>
      </c>
      <c r="D55" s="289"/>
      <c r="E55" s="34"/>
      <c r="F55" s="134" t="s">
        <v>409</v>
      </c>
      <c r="G55" s="105"/>
      <c r="H55" s="134">
        <v>634</v>
      </c>
    </row>
    <row r="56" spans="1:8" s="13" customFormat="1" x14ac:dyDescent="0.25">
      <c r="A56" s="292"/>
      <c r="B56" s="293"/>
      <c r="C56" s="294" t="s">
        <v>75</v>
      </c>
      <c r="D56" s="295"/>
      <c r="E56" s="34"/>
      <c r="F56" s="127">
        <v>2</v>
      </c>
      <c r="G56" s="105"/>
      <c r="H56" s="127">
        <v>2</v>
      </c>
    </row>
    <row r="57" spans="1:8" s="13" customFormat="1" ht="13.5" thickBot="1" x14ac:dyDescent="0.3">
      <c r="A57" s="285"/>
      <c r="B57" s="287"/>
      <c r="C57" s="282" t="s">
        <v>76</v>
      </c>
      <c r="D57" s="283"/>
      <c r="E57" s="34"/>
      <c r="F57" s="135">
        <v>770</v>
      </c>
      <c r="G57" s="105"/>
      <c r="H57" s="135">
        <v>760</v>
      </c>
    </row>
    <row r="58" spans="1:8" s="13" customFormat="1" ht="15.95" customHeight="1" thickBot="1" x14ac:dyDescent="0.3">
      <c r="A58" s="50" t="s">
        <v>44</v>
      </c>
      <c r="B58" s="30" t="s">
        <v>45</v>
      </c>
      <c r="C58" s="298"/>
      <c r="D58" s="299"/>
      <c r="E58" s="35"/>
      <c r="F58" s="137"/>
      <c r="G58" s="232"/>
      <c r="H58" s="137"/>
    </row>
    <row r="59" spans="1:8" s="13" customFormat="1" ht="26.45" customHeight="1" thickBot="1" x14ac:dyDescent="0.3">
      <c r="A59" s="50" t="s">
        <v>44</v>
      </c>
      <c r="B59" s="30" t="s">
        <v>63</v>
      </c>
      <c r="C59" s="298"/>
      <c r="D59" s="299"/>
      <c r="E59" s="35"/>
      <c r="F59" s="137"/>
      <c r="G59" s="232"/>
      <c r="H59" s="137"/>
    </row>
    <row r="60" spans="1:8" s="13" customFormat="1" ht="28.5" customHeight="1" thickBot="1" x14ac:dyDescent="0.3">
      <c r="A60" s="50" t="s">
        <v>44</v>
      </c>
      <c r="B60" s="30" t="s">
        <v>64</v>
      </c>
      <c r="C60" s="298"/>
      <c r="D60" s="299"/>
      <c r="E60" s="35"/>
      <c r="F60" s="137"/>
      <c r="G60" s="232"/>
      <c r="H60" s="137"/>
    </row>
    <row r="61" spans="1:8" s="13" customFormat="1" ht="14.45" customHeight="1" thickBot="1" x14ac:dyDescent="0.3">
      <c r="A61" s="50" t="s">
        <v>50</v>
      </c>
      <c r="B61" s="30" t="s">
        <v>65</v>
      </c>
      <c r="C61" s="298"/>
      <c r="D61" s="299"/>
      <c r="E61" s="35"/>
      <c r="F61" s="137"/>
      <c r="G61" s="232"/>
      <c r="H61" s="137"/>
    </row>
    <row r="62" spans="1:8" s="13" customFormat="1" ht="13.5" thickBot="1" x14ac:dyDescent="0.3">
      <c r="A62" s="50" t="s">
        <v>27</v>
      </c>
      <c r="B62" s="30"/>
      <c r="C62" s="310" t="s">
        <v>77</v>
      </c>
      <c r="D62" s="311"/>
      <c r="E62" s="34"/>
      <c r="F62" s="133" t="s">
        <v>410</v>
      </c>
      <c r="G62" s="105"/>
      <c r="H62" s="133" t="s">
        <v>410</v>
      </c>
    </row>
    <row r="63" spans="1:8" s="13" customFormat="1" ht="39" thickBot="1" x14ac:dyDescent="0.3">
      <c r="A63" s="50" t="s">
        <v>28</v>
      </c>
      <c r="B63" s="30" t="s">
        <v>179</v>
      </c>
      <c r="C63" s="310" t="s">
        <v>78</v>
      </c>
      <c r="D63" s="311"/>
      <c r="E63" s="34"/>
      <c r="F63" s="133">
        <v>32</v>
      </c>
      <c r="G63" s="105"/>
      <c r="H63" s="133">
        <v>40</v>
      </c>
    </row>
    <row r="64" spans="1:8" s="13" customFormat="1" ht="39.6" customHeight="1" thickBot="1" x14ac:dyDescent="0.3">
      <c r="A64" s="50" t="s">
        <v>51</v>
      </c>
      <c r="B64" s="30" t="s">
        <v>79</v>
      </c>
      <c r="C64" s="298"/>
      <c r="D64" s="299"/>
      <c r="E64" s="35"/>
      <c r="F64" s="133"/>
      <c r="G64" s="232"/>
      <c r="H64" s="133"/>
    </row>
    <row r="65" spans="1:8" s="13" customFormat="1" ht="41.1" customHeight="1" thickBot="1" x14ac:dyDescent="0.3">
      <c r="A65" s="50" t="s">
        <v>54</v>
      </c>
      <c r="B65" s="30" t="s">
        <v>80</v>
      </c>
      <c r="C65" s="298"/>
      <c r="D65" s="299"/>
      <c r="E65" s="35"/>
      <c r="F65" s="133"/>
      <c r="G65" s="232"/>
      <c r="H65" s="133"/>
    </row>
    <row r="66" spans="1:8" s="13" customFormat="1" ht="78.95" customHeight="1" thickBot="1" x14ac:dyDescent="0.3">
      <c r="A66" s="50" t="s">
        <v>29</v>
      </c>
      <c r="B66" s="30" t="s">
        <v>132</v>
      </c>
      <c r="C66" s="298"/>
      <c r="D66" s="299"/>
      <c r="E66" s="35"/>
      <c r="F66" s="133"/>
      <c r="G66" s="232"/>
      <c r="H66" s="133"/>
    </row>
    <row r="67" spans="1:8" s="13" customFormat="1" ht="51.75" thickBot="1" x14ac:dyDescent="0.3">
      <c r="A67" s="50" t="s">
        <v>31</v>
      </c>
      <c r="B67" s="30" t="s">
        <v>94</v>
      </c>
      <c r="C67" s="310" t="s">
        <v>30</v>
      </c>
      <c r="D67" s="311"/>
      <c r="E67" s="34"/>
      <c r="F67" s="133" t="s">
        <v>411</v>
      </c>
      <c r="G67" s="105"/>
      <c r="H67" s="133" t="s">
        <v>411</v>
      </c>
    </row>
    <row r="68" spans="1:8" s="13" customFormat="1" ht="28.5" customHeight="1" thickBot="1" x14ac:dyDescent="0.3">
      <c r="A68" s="50" t="s">
        <v>55</v>
      </c>
      <c r="B68" s="30" t="s">
        <v>95</v>
      </c>
      <c r="C68" s="298"/>
      <c r="D68" s="299"/>
      <c r="E68" s="35"/>
      <c r="F68" s="133"/>
      <c r="G68" s="232"/>
      <c r="H68" s="133"/>
    </row>
    <row r="69" spans="1:8" s="13" customFormat="1" ht="39" thickBot="1" x14ac:dyDescent="0.3">
      <c r="A69" s="50" t="s">
        <v>32</v>
      </c>
      <c r="B69" s="30" t="s">
        <v>96</v>
      </c>
      <c r="C69" s="310" t="s">
        <v>30</v>
      </c>
      <c r="D69" s="311"/>
      <c r="E69" s="34"/>
      <c r="F69" s="133" t="s">
        <v>412</v>
      </c>
      <c r="G69" s="105"/>
      <c r="H69" s="133" t="s">
        <v>412</v>
      </c>
    </row>
    <row r="70" spans="1:8" s="13" customFormat="1" ht="42.6" customHeight="1" thickBot="1" x14ac:dyDescent="0.3">
      <c r="A70" s="50" t="s">
        <v>56</v>
      </c>
      <c r="B70" s="30" t="s">
        <v>167</v>
      </c>
      <c r="C70" s="298"/>
      <c r="D70" s="299"/>
      <c r="E70" s="35"/>
      <c r="F70" s="133"/>
      <c r="G70" s="232"/>
      <c r="H70" s="133"/>
    </row>
    <row r="71" spans="1:8" s="13" customFormat="1" ht="27.95" customHeight="1" thickBot="1" x14ac:dyDescent="0.3">
      <c r="A71" s="50" t="s">
        <v>48</v>
      </c>
      <c r="B71" s="30" t="s">
        <v>47</v>
      </c>
      <c r="C71" s="298"/>
      <c r="D71" s="299"/>
      <c r="E71" s="35"/>
      <c r="F71" s="133"/>
      <c r="G71" s="232"/>
      <c r="H71" s="133"/>
    </row>
    <row r="72" spans="1:8" s="13" customFormat="1" ht="26.25" thickBot="1" x14ac:dyDescent="0.3">
      <c r="A72" s="50" t="s">
        <v>49</v>
      </c>
      <c r="B72" s="30" t="s">
        <v>103</v>
      </c>
      <c r="C72" s="298"/>
      <c r="D72" s="299"/>
      <c r="E72" s="35"/>
      <c r="F72" s="133"/>
      <c r="G72" s="232"/>
      <c r="H72" s="133"/>
    </row>
    <row r="73" spans="1:8" s="13" customFormat="1" ht="26.25" thickBot="1" x14ac:dyDescent="0.3">
      <c r="A73" s="50" t="s">
        <v>46</v>
      </c>
      <c r="B73" s="30" t="s">
        <v>81</v>
      </c>
      <c r="C73" s="298"/>
      <c r="D73" s="299"/>
      <c r="E73" s="35"/>
      <c r="F73" s="133"/>
      <c r="G73" s="232"/>
      <c r="H73" s="133"/>
    </row>
    <row r="74" spans="1:8" ht="13.5" thickBot="1" x14ac:dyDescent="0.25"/>
    <row r="75" spans="1:8" s="17" customFormat="1" ht="32.25" thickBot="1" x14ac:dyDescent="0.3">
      <c r="A75" s="303" t="s">
        <v>168</v>
      </c>
      <c r="B75" s="304"/>
      <c r="C75" s="304"/>
      <c r="D75" s="305"/>
      <c r="E75" s="38"/>
      <c r="F75" s="95" t="s">
        <v>503</v>
      </c>
      <c r="G75" s="103"/>
      <c r="H75" s="95" t="s">
        <v>492</v>
      </c>
    </row>
    <row r="76" spans="1:8" s="3" customFormat="1" ht="15" customHeight="1" thickBot="1" x14ac:dyDescent="0.3">
      <c r="A76" s="312" t="s">
        <v>169</v>
      </c>
      <c r="B76" s="313"/>
      <c r="C76" s="313"/>
      <c r="D76" s="314"/>
      <c r="E76" s="39"/>
      <c r="F76" s="97" t="s">
        <v>17</v>
      </c>
      <c r="G76" s="104"/>
      <c r="H76" s="97" t="s">
        <v>17</v>
      </c>
    </row>
    <row r="77" spans="1:8" s="13" customFormat="1" x14ac:dyDescent="0.25">
      <c r="A77" s="315" t="s">
        <v>82</v>
      </c>
      <c r="B77" s="316"/>
      <c r="C77" s="316"/>
      <c r="D77" s="317"/>
      <c r="E77" s="35"/>
      <c r="F77" s="233">
        <f>1610*('PPI Adj'!D6)</f>
        <v>1878.8700000000001</v>
      </c>
      <c r="G77" s="232"/>
      <c r="H77" s="233" t="s">
        <v>182</v>
      </c>
    </row>
    <row r="78" spans="1:8" s="13" customFormat="1" x14ac:dyDescent="0.25">
      <c r="A78" s="315" t="s">
        <v>83</v>
      </c>
      <c r="B78" s="316"/>
      <c r="C78" s="316"/>
      <c r="D78" s="317"/>
      <c r="E78" s="35"/>
      <c r="F78" s="138">
        <f>-1124*('PPI Adj'!D6)</f>
        <v>-1311.7080000000001</v>
      </c>
      <c r="G78" s="232"/>
      <c r="H78" s="138">
        <f>-1324*('PPI Adj'!D6)</f>
        <v>-1545.1079999999999</v>
      </c>
    </row>
    <row r="79" spans="1:8" s="13" customFormat="1" x14ac:dyDescent="0.25">
      <c r="A79" s="318" t="s">
        <v>34</v>
      </c>
      <c r="B79" s="319"/>
      <c r="C79" s="319"/>
      <c r="D79" s="320"/>
      <c r="E79" s="34"/>
      <c r="F79" s="139">
        <f>379.4*('PPI Adj'!D6)</f>
        <v>442.75979999999998</v>
      </c>
      <c r="G79" s="105"/>
      <c r="H79" s="139">
        <f>379.4*('PPI Adj'!D6)</f>
        <v>442.75979999999998</v>
      </c>
    </row>
    <row r="80" spans="1:8" s="13" customFormat="1" x14ac:dyDescent="0.25">
      <c r="A80" s="318" t="s">
        <v>35</v>
      </c>
      <c r="B80" s="319"/>
      <c r="C80" s="319"/>
      <c r="D80" s="320"/>
      <c r="E80" s="35"/>
      <c r="F80" s="139" t="s">
        <v>188</v>
      </c>
      <c r="G80" s="232"/>
      <c r="H80" s="139" t="s">
        <v>188</v>
      </c>
    </row>
    <row r="81" spans="1:8" s="13" customFormat="1" x14ac:dyDescent="0.25">
      <c r="A81" s="318" t="s">
        <v>36</v>
      </c>
      <c r="B81" s="319"/>
      <c r="C81" s="319"/>
      <c r="D81" s="320"/>
      <c r="E81" s="34"/>
      <c r="F81" s="139">
        <f>413*('PPI Adj'!D6)</f>
        <v>481.971</v>
      </c>
      <c r="G81" s="105"/>
      <c r="H81" s="139">
        <f>343*('PPI Adj'!D6)</f>
        <v>400.28100000000001</v>
      </c>
    </row>
    <row r="82" spans="1:8" s="13" customFormat="1" x14ac:dyDescent="0.25">
      <c r="A82" s="318" t="s">
        <v>60</v>
      </c>
      <c r="B82" s="319"/>
      <c r="C82" s="319"/>
      <c r="D82" s="320"/>
      <c r="E82" s="34"/>
      <c r="F82" s="139">
        <f>1918*('PPI Adj'!D6)</f>
        <v>2238.306</v>
      </c>
      <c r="G82" s="105"/>
      <c r="H82" s="139">
        <f>1918*('PPI Adj'!D6)</f>
        <v>2238.306</v>
      </c>
    </row>
    <row r="83" spans="1:8" s="13" customFormat="1" x14ac:dyDescent="0.25">
      <c r="A83" s="318" t="s">
        <v>61</v>
      </c>
      <c r="B83" s="319"/>
      <c r="C83" s="319"/>
      <c r="D83" s="320"/>
      <c r="E83" s="34"/>
      <c r="F83" s="139" t="s">
        <v>188</v>
      </c>
      <c r="G83" s="105"/>
      <c r="H83" s="139" t="s">
        <v>188</v>
      </c>
    </row>
    <row r="84" spans="1:8" s="13" customFormat="1" x14ac:dyDescent="0.25">
      <c r="A84" s="318" t="s">
        <v>86</v>
      </c>
      <c r="B84" s="319"/>
      <c r="C84" s="319"/>
      <c r="D84" s="320"/>
      <c r="E84" s="34"/>
      <c r="F84" s="139">
        <f>1083.6*('PPI Adj'!D6)</f>
        <v>1264.5611999999999</v>
      </c>
      <c r="G84" s="105"/>
      <c r="H84" s="139">
        <f>1083.6*('PPI Adj'!D6)</f>
        <v>1264.5611999999999</v>
      </c>
    </row>
    <row r="85" spans="1:8" x14ac:dyDescent="0.2">
      <c r="A85" s="318" t="s">
        <v>85</v>
      </c>
      <c r="B85" s="319"/>
      <c r="C85" s="319"/>
      <c r="D85" s="320"/>
      <c r="E85" s="34"/>
      <c r="F85" s="139">
        <f>4527.6*('PPI Adj'!D6)</f>
        <v>5283.7092000000002</v>
      </c>
      <c r="G85" s="105"/>
      <c r="H85" s="139">
        <f>5117*('PPI Adj'!D6)</f>
        <v>5971.5389999999998</v>
      </c>
    </row>
    <row r="86" spans="1:8" x14ac:dyDescent="0.2">
      <c r="A86" s="318" t="s">
        <v>13</v>
      </c>
      <c r="B86" s="319"/>
      <c r="C86" s="319"/>
      <c r="D86" s="320"/>
      <c r="E86" s="34"/>
      <c r="F86" s="139">
        <f>6498.8*('PPI Adj'!D6)</f>
        <v>7584.0996000000005</v>
      </c>
      <c r="G86" s="105"/>
      <c r="H86" s="139">
        <f>6498.8*('PPI Adj'!D6)</f>
        <v>7584.0996000000005</v>
      </c>
    </row>
    <row r="87" spans="1:8" x14ac:dyDescent="0.2">
      <c r="A87" s="318" t="s">
        <v>37</v>
      </c>
      <c r="B87" s="319"/>
      <c r="C87" s="319"/>
      <c r="D87" s="320"/>
      <c r="E87" s="35"/>
      <c r="F87" s="139">
        <f>544.6*('PPI Adj'!D6)</f>
        <v>635.54820000000007</v>
      </c>
      <c r="G87" s="232"/>
      <c r="H87" s="139">
        <f>544.6*('PPI Adj'!D6)</f>
        <v>635.54820000000007</v>
      </c>
    </row>
    <row r="88" spans="1:8" x14ac:dyDescent="0.2">
      <c r="A88" s="318" t="s">
        <v>38</v>
      </c>
      <c r="B88" s="319"/>
      <c r="C88" s="319"/>
      <c r="D88" s="320"/>
      <c r="E88" s="35"/>
      <c r="F88" s="139">
        <f>1111.6*('PPI Adj'!D6)</f>
        <v>1297.2372</v>
      </c>
      <c r="G88" s="105"/>
      <c r="H88" s="139">
        <f>1111.6*('PPI Adj'!D6)</f>
        <v>1297.2372</v>
      </c>
    </row>
    <row r="89" spans="1:8" x14ac:dyDescent="0.2">
      <c r="A89" s="318" t="s">
        <v>39</v>
      </c>
      <c r="B89" s="319"/>
      <c r="C89" s="319"/>
      <c r="D89" s="320"/>
      <c r="E89" s="34"/>
      <c r="F89" s="139">
        <f>616*('PPI Adj'!D6)</f>
        <v>718.87200000000007</v>
      </c>
      <c r="G89" s="105"/>
      <c r="H89" s="139">
        <f>616*('PPI Adj'!D6)</f>
        <v>718.87200000000007</v>
      </c>
    </row>
    <row r="90" spans="1:8" x14ac:dyDescent="0.2">
      <c r="A90" s="318" t="s">
        <v>90</v>
      </c>
      <c r="B90" s="319"/>
      <c r="C90" s="319"/>
      <c r="D90" s="320"/>
      <c r="E90" s="35"/>
      <c r="F90" s="139">
        <v>0</v>
      </c>
      <c r="G90" s="232"/>
      <c r="H90" s="139">
        <v>0</v>
      </c>
    </row>
    <row r="91" spans="1:8" x14ac:dyDescent="0.2">
      <c r="A91" s="318" t="s">
        <v>88</v>
      </c>
      <c r="B91" s="319"/>
      <c r="C91" s="319"/>
      <c r="D91" s="320"/>
      <c r="E91" s="34"/>
      <c r="F91" s="139" t="s">
        <v>182</v>
      </c>
      <c r="G91" s="105"/>
      <c r="H91" s="139" t="s">
        <v>182</v>
      </c>
    </row>
    <row r="92" spans="1:8" x14ac:dyDescent="0.2">
      <c r="A92" s="318" t="s">
        <v>40</v>
      </c>
      <c r="B92" s="319"/>
      <c r="C92" s="319"/>
      <c r="D92" s="320"/>
      <c r="E92" s="34"/>
      <c r="F92" s="139">
        <f>329*('PPI Adj'!D6)</f>
        <v>383.94300000000004</v>
      </c>
      <c r="G92" s="105"/>
      <c r="H92" s="139">
        <f>329*('PPI Adj'!D6)</f>
        <v>383.94300000000004</v>
      </c>
    </row>
    <row r="93" spans="1:8" x14ac:dyDescent="0.2">
      <c r="A93" s="318" t="s">
        <v>14</v>
      </c>
      <c r="B93" s="319"/>
      <c r="C93" s="319"/>
      <c r="D93" s="320"/>
      <c r="E93" s="34"/>
      <c r="F93" s="139">
        <f>3977*('PPI Adj'!D6)</f>
        <v>4641.1590000000006</v>
      </c>
      <c r="G93" s="105"/>
      <c r="H93" s="139">
        <f>4012*('PPI Adj'!D6)</f>
        <v>4682.0039999999999</v>
      </c>
    </row>
    <row r="94" spans="1:8" x14ac:dyDescent="0.2">
      <c r="A94" s="318" t="s">
        <v>91</v>
      </c>
      <c r="B94" s="319"/>
      <c r="C94" s="319"/>
      <c r="D94" s="320"/>
      <c r="E94" s="34"/>
      <c r="F94" s="139">
        <f>3055*('PPI Adj'!D6)</f>
        <v>3565.1849999999999</v>
      </c>
      <c r="G94" s="105"/>
      <c r="H94" s="139">
        <f>3055*('PPI Adj'!D6)</f>
        <v>3565.1849999999999</v>
      </c>
    </row>
    <row r="95" spans="1:8" x14ac:dyDescent="0.2">
      <c r="A95" s="324" t="s">
        <v>324</v>
      </c>
      <c r="B95" s="325"/>
      <c r="C95" s="325"/>
      <c r="D95" s="326"/>
      <c r="E95" s="34"/>
      <c r="F95" s="222">
        <v>0</v>
      </c>
      <c r="G95" s="105"/>
      <c r="H95" s="222">
        <v>0</v>
      </c>
    </row>
    <row r="96" spans="1:8" ht="13.5" thickBot="1" x14ac:dyDescent="0.25">
      <c r="A96" s="321" t="s">
        <v>92</v>
      </c>
      <c r="B96" s="322"/>
      <c r="C96" s="322"/>
      <c r="D96" s="323"/>
      <c r="E96" s="35"/>
      <c r="F96" s="140">
        <f>-929*('PPI Adj'!D6)</f>
        <v>-1084.143</v>
      </c>
      <c r="G96" s="232"/>
      <c r="H96" s="140">
        <f>-929*('PPI Adj'!D6)</f>
        <v>-1084.143</v>
      </c>
    </row>
    <row r="97" spans="1:8" ht="13.5" thickBot="1" x14ac:dyDescent="0.25"/>
    <row r="98" spans="1:8" s="17" customFormat="1" ht="32.25" thickBot="1" x14ac:dyDescent="0.3">
      <c r="A98" s="303" t="s">
        <v>166</v>
      </c>
      <c r="B98" s="304"/>
      <c r="C98" s="304"/>
      <c r="D98" s="305"/>
      <c r="E98" s="38"/>
      <c r="F98" s="95" t="s">
        <v>503</v>
      </c>
      <c r="G98" s="103"/>
      <c r="H98" s="95" t="s">
        <v>492</v>
      </c>
    </row>
    <row r="99" spans="1:8" s="3" customFormat="1" ht="15" customHeight="1" thickBot="1" x14ac:dyDescent="0.3">
      <c r="A99" s="52" t="s">
        <v>33</v>
      </c>
      <c r="B99" s="24" t="s">
        <v>7</v>
      </c>
      <c r="C99" s="327" t="s">
        <v>165</v>
      </c>
      <c r="D99" s="328"/>
      <c r="E99" s="39"/>
      <c r="F99" s="97" t="s">
        <v>17</v>
      </c>
      <c r="G99" s="104"/>
      <c r="H99" s="97" t="s">
        <v>17</v>
      </c>
    </row>
    <row r="100" spans="1:8" s="13" customFormat="1" ht="26.25" thickBot="1" x14ac:dyDescent="0.3">
      <c r="A100" s="53" t="s">
        <v>82</v>
      </c>
      <c r="B100" s="16" t="s">
        <v>130</v>
      </c>
      <c r="C100" s="329"/>
      <c r="D100" s="330"/>
      <c r="E100" s="35"/>
      <c r="F100" s="133"/>
      <c r="G100" s="232"/>
      <c r="H100" s="133"/>
    </row>
    <row r="101" spans="1:8" s="13" customFormat="1" ht="39" thickBot="1" x14ac:dyDescent="0.3">
      <c r="A101" s="53" t="s">
        <v>83</v>
      </c>
      <c r="B101" s="23" t="s">
        <v>146</v>
      </c>
      <c r="C101" s="329"/>
      <c r="D101" s="330"/>
      <c r="E101" s="35"/>
      <c r="F101" s="133"/>
      <c r="G101" s="232"/>
      <c r="H101" s="133"/>
    </row>
    <row r="102" spans="1:8" s="13" customFormat="1" ht="26.25" thickBot="1" x14ac:dyDescent="0.3">
      <c r="A102" s="50" t="s">
        <v>34</v>
      </c>
      <c r="B102" s="30" t="s">
        <v>107</v>
      </c>
      <c r="C102" s="310" t="s">
        <v>30</v>
      </c>
      <c r="D102" s="311"/>
      <c r="E102" s="34"/>
      <c r="F102" s="133" t="s">
        <v>413</v>
      </c>
      <c r="G102" s="105"/>
      <c r="H102" s="133" t="s">
        <v>413</v>
      </c>
    </row>
    <row r="103" spans="1:8" s="13" customFormat="1" ht="51.95" customHeight="1" thickBot="1" x14ac:dyDescent="0.3">
      <c r="A103" s="50" t="s">
        <v>35</v>
      </c>
      <c r="B103" s="30" t="s">
        <v>97</v>
      </c>
      <c r="C103" s="298"/>
      <c r="D103" s="299"/>
      <c r="E103" s="35"/>
      <c r="F103" s="133"/>
      <c r="G103" s="232"/>
      <c r="H103" s="133"/>
    </row>
    <row r="104" spans="1:8" s="13" customFormat="1" ht="27.95" customHeight="1" thickBot="1" x14ac:dyDescent="0.3">
      <c r="A104" s="50" t="s">
        <v>36</v>
      </c>
      <c r="B104" s="30" t="s">
        <v>84</v>
      </c>
      <c r="C104" s="310" t="s">
        <v>99</v>
      </c>
      <c r="D104" s="311"/>
      <c r="E104" s="34"/>
      <c r="F104" s="133" t="s">
        <v>491</v>
      </c>
      <c r="G104" s="105"/>
      <c r="H104" s="133" t="s">
        <v>495</v>
      </c>
    </row>
    <row r="105" spans="1:8" s="13" customFormat="1" ht="12.75" customHeight="1" x14ac:dyDescent="0.25">
      <c r="A105" s="284" t="s">
        <v>60</v>
      </c>
      <c r="B105" s="286" t="s">
        <v>133</v>
      </c>
      <c r="C105" s="288" t="s">
        <v>176</v>
      </c>
      <c r="D105" s="289"/>
      <c r="E105" s="34"/>
      <c r="F105" s="134" t="s">
        <v>452</v>
      </c>
      <c r="G105" s="105"/>
      <c r="H105" s="134" t="s">
        <v>452</v>
      </c>
    </row>
    <row r="106" spans="1:8" s="13" customFormat="1" ht="12.75" customHeight="1" x14ac:dyDescent="0.25">
      <c r="A106" s="292"/>
      <c r="B106" s="293"/>
      <c r="C106" s="294" t="s">
        <v>177</v>
      </c>
      <c r="D106" s="295"/>
      <c r="E106" s="34"/>
      <c r="F106" s="127" t="s">
        <v>462</v>
      </c>
      <c r="G106" s="105"/>
      <c r="H106" s="127" t="s">
        <v>462</v>
      </c>
    </row>
    <row r="107" spans="1:8" s="13" customFormat="1" ht="57" customHeight="1" x14ac:dyDescent="0.25">
      <c r="A107" s="292"/>
      <c r="B107" s="293"/>
      <c r="C107" s="294" t="s">
        <v>114</v>
      </c>
      <c r="D107" s="295"/>
      <c r="E107" s="34"/>
      <c r="F107" s="127" t="s">
        <v>468</v>
      </c>
      <c r="G107" s="105"/>
      <c r="H107" s="127" t="s">
        <v>468</v>
      </c>
    </row>
    <row r="108" spans="1:8" s="13" customFormat="1" ht="30.75" customHeight="1" thickBot="1" x14ac:dyDescent="0.3">
      <c r="A108" s="285"/>
      <c r="B108" s="287"/>
      <c r="C108" s="282" t="s">
        <v>115</v>
      </c>
      <c r="D108" s="283"/>
      <c r="E108" s="34"/>
      <c r="F108" s="135" t="s">
        <v>469</v>
      </c>
      <c r="G108" s="105"/>
      <c r="H108" s="135" t="s">
        <v>469</v>
      </c>
    </row>
    <row r="109" spans="1:8" s="13" customFormat="1" x14ac:dyDescent="0.25">
      <c r="A109" s="284" t="s">
        <v>61</v>
      </c>
      <c r="B109" s="286" t="s">
        <v>134</v>
      </c>
      <c r="C109" s="288" t="s">
        <v>174</v>
      </c>
      <c r="D109" s="289"/>
      <c r="E109" s="34"/>
      <c r="F109" s="134" t="s">
        <v>452</v>
      </c>
      <c r="G109" s="105"/>
      <c r="H109" s="134" t="s">
        <v>452</v>
      </c>
    </row>
    <row r="110" spans="1:8" s="13" customFormat="1" ht="12.75" customHeight="1" x14ac:dyDescent="0.25">
      <c r="A110" s="292"/>
      <c r="B110" s="293"/>
      <c r="C110" s="294" t="s">
        <v>175</v>
      </c>
      <c r="D110" s="295"/>
      <c r="E110" s="34"/>
      <c r="F110" s="126" t="s">
        <v>461</v>
      </c>
      <c r="G110" s="105"/>
      <c r="H110" s="126" t="s">
        <v>461</v>
      </c>
    </row>
    <row r="111" spans="1:8" s="13" customFormat="1" ht="12.75" customHeight="1" x14ac:dyDescent="0.25">
      <c r="A111" s="292"/>
      <c r="B111" s="293"/>
      <c r="C111" s="294" t="s">
        <v>176</v>
      </c>
      <c r="D111" s="295"/>
      <c r="E111" s="34"/>
      <c r="F111" s="126" t="s">
        <v>452</v>
      </c>
      <c r="G111" s="105"/>
      <c r="H111" s="126" t="s">
        <v>452</v>
      </c>
    </row>
    <row r="112" spans="1:8" s="13" customFormat="1" ht="12.75" customHeight="1" x14ac:dyDescent="0.25">
      <c r="A112" s="292"/>
      <c r="B112" s="293"/>
      <c r="C112" s="294" t="s">
        <v>177</v>
      </c>
      <c r="D112" s="295"/>
      <c r="E112" s="34"/>
      <c r="F112" s="127" t="s">
        <v>462</v>
      </c>
      <c r="G112" s="105"/>
      <c r="H112" s="127" t="s">
        <v>462</v>
      </c>
    </row>
    <row r="113" spans="1:8" s="13" customFormat="1" ht="12.75" customHeight="1" x14ac:dyDescent="0.25">
      <c r="A113" s="292"/>
      <c r="B113" s="293"/>
      <c r="C113" s="294" t="s">
        <v>112</v>
      </c>
      <c r="D113" s="295"/>
      <c r="E113" s="34"/>
      <c r="F113" s="127" t="s">
        <v>463</v>
      </c>
      <c r="G113" s="105"/>
      <c r="H113" s="127" t="s">
        <v>475</v>
      </c>
    </row>
    <row r="114" spans="1:8" s="13" customFormat="1" ht="12.75" customHeight="1" x14ac:dyDescent="0.25">
      <c r="A114" s="292"/>
      <c r="B114" s="293"/>
      <c r="C114" s="294" t="s">
        <v>113</v>
      </c>
      <c r="D114" s="295"/>
      <c r="E114" s="34"/>
      <c r="F114" s="126" t="s">
        <v>184</v>
      </c>
      <c r="G114" s="105"/>
      <c r="H114" s="126" t="s">
        <v>476</v>
      </c>
    </row>
    <row r="115" spans="1:8" s="13" customFormat="1" ht="12.75" customHeight="1" x14ac:dyDescent="0.25">
      <c r="A115" s="292"/>
      <c r="B115" s="293"/>
      <c r="C115" s="294" t="s">
        <v>114</v>
      </c>
      <c r="D115" s="295"/>
      <c r="E115" s="34"/>
      <c r="F115" s="126" t="s">
        <v>464</v>
      </c>
      <c r="G115" s="105"/>
      <c r="H115" s="126" t="s">
        <v>475</v>
      </c>
    </row>
    <row r="116" spans="1:8" s="13" customFormat="1" ht="13.5" customHeight="1" thickBot="1" x14ac:dyDescent="0.3">
      <c r="A116" s="285"/>
      <c r="B116" s="287"/>
      <c r="C116" s="282" t="s">
        <v>115</v>
      </c>
      <c r="D116" s="283"/>
      <c r="E116" s="34"/>
      <c r="F116" s="135" t="s">
        <v>184</v>
      </c>
      <c r="G116" s="105"/>
      <c r="H116" s="135" t="s">
        <v>476</v>
      </c>
    </row>
    <row r="117" spans="1:8" s="13" customFormat="1" ht="143.1" customHeight="1" thickBot="1" x14ac:dyDescent="0.3">
      <c r="A117" s="54" t="s">
        <v>86</v>
      </c>
      <c r="B117" s="18" t="s">
        <v>143</v>
      </c>
      <c r="C117" s="310" t="s">
        <v>104</v>
      </c>
      <c r="D117" s="311"/>
      <c r="E117" s="34"/>
      <c r="F117" s="134" t="s">
        <v>418</v>
      </c>
      <c r="G117" s="105"/>
      <c r="H117" s="134" t="s">
        <v>481</v>
      </c>
    </row>
    <row r="118" spans="1:8" ht="168.6" customHeight="1" thickBot="1" x14ac:dyDescent="0.25">
      <c r="A118" s="50" t="s">
        <v>85</v>
      </c>
      <c r="B118" s="14" t="s">
        <v>170</v>
      </c>
      <c r="C118" s="310" t="s">
        <v>104</v>
      </c>
      <c r="D118" s="311"/>
      <c r="E118" s="34"/>
      <c r="F118" s="133" t="s">
        <v>470</v>
      </c>
      <c r="G118" s="105"/>
      <c r="H118" s="133" t="s">
        <v>482</v>
      </c>
    </row>
    <row r="119" spans="1:8" ht="25.5" x14ac:dyDescent="0.2">
      <c r="A119" s="284" t="s">
        <v>13</v>
      </c>
      <c r="B119" s="286" t="s">
        <v>98</v>
      </c>
      <c r="C119" s="288" t="s">
        <v>30</v>
      </c>
      <c r="D119" s="289"/>
      <c r="E119" s="34"/>
      <c r="F119" s="134" t="s">
        <v>419</v>
      </c>
      <c r="G119" s="105"/>
      <c r="H119" s="134" t="s">
        <v>419</v>
      </c>
    </row>
    <row r="120" spans="1:8" ht="42.75" customHeight="1" thickBot="1" x14ac:dyDescent="0.25">
      <c r="A120" s="285"/>
      <c r="B120" s="287"/>
      <c r="C120" s="282" t="s">
        <v>109</v>
      </c>
      <c r="D120" s="283"/>
      <c r="E120" s="34"/>
      <c r="F120" s="135" t="s">
        <v>185</v>
      </c>
      <c r="G120" s="105"/>
      <c r="H120" s="135" t="s">
        <v>185</v>
      </c>
    </row>
    <row r="121" spans="1:8" ht="64.5" customHeight="1" thickBot="1" x14ac:dyDescent="0.25">
      <c r="A121" s="50" t="s">
        <v>37</v>
      </c>
      <c r="B121" s="30" t="s">
        <v>135</v>
      </c>
      <c r="C121" s="298"/>
      <c r="D121" s="299"/>
      <c r="E121" s="35"/>
      <c r="F121" s="133" t="s">
        <v>471</v>
      </c>
      <c r="G121" s="232"/>
      <c r="H121" s="133" t="s">
        <v>471</v>
      </c>
    </row>
    <row r="122" spans="1:8" ht="40.5" customHeight="1" thickBot="1" x14ac:dyDescent="0.25">
      <c r="A122" s="50" t="s">
        <v>38</v>
      </c>
      <c r="B122" s="30" t="s">
        <v>87</v>
      </c>
      <c r="C122" s="298"/>
      <c r="D122" s="299"/>
      <c r="E122" s="35"/>
      <c r="F122" s="134"/>
      <c r="G122" s="232"/>
      <c r="H122" s="134"/>
    </row>
    <row r="123" spans="1:8" ht="26.45" customHeight="1" thickBot="1" x14ac:dyDescent="0.25">
      <c r="A123" s="50" t="s">
        <v>39</v>
      </c>
      <c r="B123" s="30" t="s">
        <v>106</v>
      </c>
      <c r="C123" s="310" t="s">
        <v>105</v>
      </c>
      <c r="D123" s="311"/>
      <c r="E123" s="34"/>
      <c r="F123" s="133" t="s">
        <v>421</v>
      </c>
      <c r="G123" s="105"/>
      <c r="H123" s="133" t="s">
        <v>421</v>
      </c>
    </row>
    <row r="124" spans="1:8" ht="40.5" customHeight="1" thickBot="1" x14ac:dyDescent="0.25">
      <c r="A124" s="50" t="s">
        <v>90</v>
      </c>
      <c r="B124" s="30" t="s">
        <v>129</v>
      </c>
      <c r="C124" s="298"/>
      <c r="D124" s="299"/>
      <c r="E124" s="35"/>
      <c r="F124" s="133" t="s">
        <v>423</v>
      </c>
      <c r="G124" s="232"/>
      <c r="H124" s="133" t="s">
        <v>423</v>
      </c>
    </row>
    <row r="125" spans="1:8" x14ac:dyDescent="0.2">
      <c r="A125" s="284" t="s">
        <v>88</v>
      </c>
      <c r="B125" s="286" t="s">
        <v>148</v>
      </c>
      <c r="C125" s="288" t="s">
        <v>100</v>
      </c>
      <c r="D125" s="289"/>
      <c r="E125" s="34"/>
      <c r="F125" s="134" t="s">
        <v>182</v>
      </c>
      <c r="G125" s="105"/>
      <c r="H125" s="134" t="s">
        <v>182</v>
      </c>
    </row>
    <row r="126" spans="1:8" ht="108" customHeight="1" thickBot="1" x14ac:dyDescent="0.25">
      <c r="A126" s="285"/>
      <c r="B126" s="287"/>
      <c r="C126" s="282" t="s">
        <v>110</v>
      </c>
      <c r="D126" s="283"/>
      <c r="E126" s="34"/>
      <c r="F126" s="221"/>
      <c r="G126" s="105"/>
      <c r="H126" s="221"/>
    </row>
    <row r="127" spans="1:8" ht="39" thickBot="1" x14ac:dyDescent="0.25">
      <c r="A127" s="50" t="s">
        <v>40</v>
      </c>
      <c r="B127" s="30" t="s">
        <v>137</v>
      </c>
      <c r="C127" s="310" t="s">
        <v>100</v>
      </c>
      <c r="D127" s="311"/>
      <c r="E127" s="34"/>
      <c r="F127" s="135" t="s">
        <v>448</v>
      </c>
      <c r="G127" s="105"/>
      <c r="H127" s="135" t="s">
        <v>448</v>
      </c>
    </row>
    <row r="128" spans="1:8" ht="53.1" customHeight="1" thickBot="1" x14ac:dyDescent="0.25">
      <c r="A128" s="50" t="s">
        <v>14</v>
      </c>
      <c r="B128" s="30" t="s">
        <v>138</v>
      </c>
      <c r="C128" s="310" t="s">
        <v>139</v>
      </c>
      <c r="D128" s="311"/>
      <c r="E128" s="34"/>
      <c r="F128" s="133">
        <v>2</v>
      </c>
      <c r="G128" s="105"/>
      <c r="H128" s="133">
        <v>2</v>
      </c>
    </row>
    <row r="129" spans="1:8" ht="67.5" customHeight="1" thickBot="1" x14ac:dyDescent="0.25">
      <c r="A129" s="50" t="s">
        <v>91</v>
      </c>
      <c r="B129" s="30" t="s">
        <v>144</v>
      </c>
      <c r="C129" s="310" t="s">
        <v>100</v>
      </c>
      <c r="D129" s="311"/>
      <c r="E129" s="34"/>
      <c r="F129" s="133" t="s">
        <v>425</v>
      </c>
      <c r="G129" s="105"/>
      <c r="H129" s="133" t="s">
        <v>425</v>
      </c>
    </row>
    <row r="130" spans="1:8" ht="66.95" customHeight="1" thickBot="1" x14ac:dyDescent="0.25">
      <c r="A130" s="50" t="s">
        <v>92</v>
      </c>
      <c r="B130" s="30" t="s">
        <v>145</v>
      </c>
      <c r="C130" s="298"/>
      <c r="D130" s="299"/>
      <c r="E130" s="35"/>
      <c r="F130" s="133"/>
      <c r="G130" s="232"/>
      <c r="H130" s="133"/>
    </row>
  </sheetData>
  <sheetProtection algorithmName="SHA-512" hashValue="3VbY8yDiVDMvf5Kv1itx/rOft5QZIDzc2nIlt48NON21AI+0LWg3eqUnOZfaoPh6tlH0ICcWulxloMbgswv4+Q==" saltValue="3yuwVJn5Xabt0MDpgsugKw==" spinCount="100000" sheet="1" objects="1" scenarios="1"/>
  <dataConsolidate/>
  <mergeCells count="145">
    <mergeCell ref="C127:D127"/>
    <mergeCell ref="C128:D128"/>
    <mergeCell ref="C129:D129"/>
    <mergeCell ref="C130:D130"/>
    <mergeCell ref="C121:D121"/>
    <mergeCell ref="C122:D122"/>
    <mergeCell ref="C123:D123"/>
    <mergeCell ref="C124:D124"/>
    <mergeCell ref="A125:A126"/>
    <mergeCell ref="B125:B126"/>
    <mergeCell ref="C125:D125"/>
    <mergeCell ref="C126:D126"/>
    <mergeCell ref="C118:D118"/>
    <mergeCell ref="A119:A120"/>
    <mergeCell ref="B119:B120"/>
    <mergeCell ref="C119:D119"/>
    <mergeCell ref="C120:D120"/>
    <mergeCell ref="A109:A116"/>
    <mergeCell ref="B109:B116"/>
    <mergeCell ref="C109:D109"/>
    <mergeCell ref="C110:D110"/>
    <mergeCell ref="C111:D111"/>
    <mergeCell ref="C112:D112"/>
    <mergeCell ref="C113:D113"/>
    <mergeCell ref="C114:D114"/>
    <mergeCell ref="C115:D115"/>
    <mergeCell ref="C116:D116"/>
    <mergeCell ref="C103:D103"/>
    <mergeCell ref="C104:D104"/>
    <mergeCell ref="A105:A108"/>
    <mergeCell ref="B105:B108"/>
    <mergeCell ref="C105:D105"/>
    <mergeCell ref="C106:D106"/>
    <mergeCell ref="C107:D107"/>
    <mergeCell ref="C108:D108"/>
    <mergeCell ref="C117:D117"/>
    <mergeCell ref="C99:D99"/>
    <mergeCell ref="C100:D100"/>
    <mergeCell ref="C101:D101"/>
    <mergeCell ref="C102:D102"/>
    <mergeCell ref="A92:D92"/>
    <mergeCell ref="A93:D93"/>
    <mergeCell ref="A94:D94"/>
    <mergeCell ref="A96:D96"/>
    <mergeCell ref="A98:D98"/>
    <mergeCell ref="A95:D95"/>
    <mergeCell ref="A86:D86"/>
    <mergeCell ref="A87:D87"/>
    <mergeCell ref="A88:D88"/>
    <mergeCell ref="A89:D89"/>
    <mergeCell ref="A90:D90"/>
    <mergeCell ref="A91:D91"/>
    <mergeCell ref="A80:D80"/>
    <mergeCell ref="A81:D81"/>
    <mergeCell ref="A82:D82"/>
    <mergeCell ref="A83:D83"/>
    <mergeCell ref="A84:D84"/>
    <mergeCell ref="A85:D85"/>
    <mergeCell ref="A76:D76"/>
    <mergeCell ref="A77:D77"/>
    <mergeCell ref="A78:D78"/>
    <mergeCell ref="A79:D79"/>
    <mergeCell ref="C70:D70"/>
    <mergeCell ref="C71:D71"/>
    <mergeCell ref="C72:D72"/>
    <mergeCell ref="C73:D73"/>
    <mergeCell ref="A75:D75"/>
    <mergeCell ref="C64:D64"/>
    <mergeCell ref="C65:D65"/>
    <mergeCell ref="C66:D66"/>
    <mergeCell ref="C67:D67"/>
    <mergeCell ref="C68:D68"/>
    <mergeCell ref="C69:D69"/>
    <mergeCell ref="C58:D58"/>
    <mergeCell ref="C59:D59"/>
    <mergeCell ref="C60:D60"/>
    <mergeCell ref="C61:D61"/>
    <mergeCell ref="C62:D62"/>
    <mergeCell ref="C63:D63"/>
    <mergeCell ref="C52:D52"/>
    <mergeCell ref="A53:A54"/>
    <mergeCell ref="B53:B54"/>
    <mergeCell ref="C53:D53"/>
    <mergeCell ref="C54:D54"/>
    <mergeCell ref="A55:A57"/>
    <mergeCell ref="B55:B57"/>
    <mergeCell ref="C55:D55"/>
    <mergeCell ref="C56:D56"/>
    <mergeCell ref="C57:D57"/>
    <mergeCell ref="C48:D48"/>
    <mergeCell ref="A49:A51"/>
    <mergeCell ref="B49:B51"/>
    <mergeCell ref="C49:D49"/>
    <mergeCell ref="C50:D50"/>
    <mergeCell ref="C51:D51"/>
    <mergeCell ref="C40:D40"/>
    <mergeCell ref="A41:A48"/>
    <mergeCell ref="B41:B48"/>
    <mergeCell ref="C41:D41"/>
    <mergeCell ref="C42:D42"/>
    <mergeCell ref="C43:D43"/>
    <mergeCell ref="C44:D44"/>
    <mergeCell ref="C45:D45"/>
    <mergeCell ref="C46:D46"/>
    <mergeCell ref="C47:D47"/>
    <mergeCell ref="C30:D30"/>
    <mergeCell ref="B23:D23"/>
    <mergeCell ref="A25:D25"/>
    <mergeCell ref="A36:A37"/>
    <mergeCell ref="B36:B37"/>
    <mergeCell ref="C36:D36"/>
    <mergeCell ref="C37:D37"/>
    <mergeCell ref="A38:A39"/>
    <mergeCell ref="B38:B39"/>
    <mergeCell ref="C38:D38"/>
    <mergeCell ref="C39:D39"/>
    <mergeCell ref="A31:A35"/>
    <mergeCell ref="B31:B35"/>
    <mergeCell ref="C31:D31"/>
    <mergeCell ref="C32:D32"/>
    <mergeCell ref="C33:D33"/>
    <mergeCell ref="C34:D34"/>
    <mergeCell ref="C35:D35"/>
    <mergeCell ref="C26:D26"/>
    <mergeCell ref="B17:D17"/>
    <mergeCell ref="B21:D21"/>
    <mergeCell ref="B22:D22"/>
    <mergeCell ref="C27:D27"/>
    <mergeCell ref="A28:A29"/>
    <mergeCell ref="B28:B29"/>
    <mergeCell ref="C28:D28"/>
    <mergeCell ref="C29:D29"/>
    <mergeCell ref="A3:D3"/>
    <mergeCell ref="A4:D4"/>
    <mergeCell ref="A6:D6"/>
    <mergeCell ref="A19:D19"/>
    <mergeCell ref="B12:D12"/>
    <mergeCell ref="B13:D13"/>
    <mergeCell ref="B14:D14"/>
    <mergeCell ref="B15:D15"/>
    <mergeCell ref="B16:D16"/>
    <mergeCell ref="B8:D8"/>
    <mergeCell ref="B9:D9"/>
    <mergeCell ref="B10:D10"/>
    <mergeCell ref="B11:D11"/>
  </mergeCells>
  <conditionalFormatting sqref="C52 C60">
    <cfRule type="expression" dxfId="172" priority="168">
      <formula>#REF!="NO"</formula>
    </cfRule>
  </conditionalFormatting>
  <conditionalFormatting sqref="C105:D116">
    <cfRule type="expression" dxfId="171" priority="34">
      <formula>#REF!="NO"</formula>
    </cfRule>
  </conditionalFormatting>
  <conditionalFormatting sqref="C100:F104">
    <cfRule type="expression" dxfId="170" priority="56">
      <formula>#REF!="NO"</formula>
    </cfRule>
  </conditionalFormatting>
  <conditionalFormatting sqref="C117:F121">
    <cfRule type="expression" dxfId="169" priority="44">
      <formula>#REF!="NO"</formula>
    </cfRule>
  </conditionalFormatting>
  <conditionalFormatting sqref="C27:H73">
    <cfRule type="expression" dxfId="168" priority="6">
      <formula>#REF!="NO"</formula>
    </cfRule>
  </conditionalFormatting>
  <conditionalFormatting sqref="C122:H130">
    <cfRule type="expression" dxfId="167" priority="1">
      <formula>#REF!="NO"</formula>
    </cfRule>
  </conditionalFormatting>
  <conditionalFormatting sqref="E105:F106 E110:F116">
    <cfRule type="expression" dxfId="166" priority="169">
      <formula>#REF!="NO"</formula>
    </cfRule>
  </conditionalFormatting>
  <conditionalFormatting sqref="E77:H96">
    <cfRule type="expression" dxfId="165" priority="8">
      <formula>#REF!="NO"</formula>
    </cfRule>
  </conditionalFormatting>
  <conditionalFormatting sqref="E107:H109">
    <cfRule type="expression" dxfId="164" priority="3">
      <formula>#REF!="NO"</formula>
    </cfRule>
  </conditionalFormatting>
  <conditionalFormatting sqref="F8:F17">
    <cfRule type="expression" dxfId="163" priority="163">
      <formula>#REF!="NO"</formula>
    </cfRule>
  </conditionalFormatting>
  <conditionalFormatting sqref="F21:F23">
    <cfRule type="expression" dxfId="162" priority="164">
      <formula>#REF!="NO"</formula>
    </cfRule>
  </conditionalFormatting>
  <conditionalFormatting sqref="G100:H106">
    <cfRule type="expression" dxfId="161" priority="16">
      <formula>#REF!="NO"</formula>
    </cfRule>
  </conditionalFormatting>
  <conditionalFormatting sqref="G110:H121">
    <cfRule type="expression" dxfId="160" priority="14">
      <formula>#REF!="NO"</formula>
    </cfRule>
  </conditionalFormatting>
  <conditionalFormatting sqref="H8:H17">
    <cfRule type="expression" dxfId="159" priority="25">
      <formula>#REF!="NO"</formula>
    </cfRule>
  </conditionalFormatting>
  <conditionalFormatting sqref="H21:H23">
    <cfRule type="expression" dxfId="158" priority="26">
      <formula>#REF!="NO"</formula>
    </cfRule>
  </conditionalFormatting>
  <dataValidations count="3">
    <dataValidation type="decimal" operator="greaterThanOrEqual" allowBlank="1" showInputMessage="1" showErrorMessage="1" error="The Pickup Allowance cannot be a negative number." sqref="F16 H16" xr:uid="{00000000-0002-0000-0300-000000000000}">
      <formula1>0</formula1>
    </dataValidation>
    <dataValidation type="decimal" allowBlank="1" showInputMessage="1" showErrorMessage="1" error="Invalid Entry - Bidder must enter a value that is greater than $0" sqref="F21 H21" xr:uid="{00000000-0002-0000-0300-000001000000}">
      <formula1>0</formula1>
      <formula2>9E+21</formula2>
    </dataValidation>
    <dataValidation type="decimal" allowBlank="1" showInputMessage="1" showErrorMessage="1" error="The Additional Options NYS Discount entered must be greater than 0%, or less than or equal to 100%." sqref="F23 H23" xr:uid="{00000000-0002-0000-0300-000002000000}">
      <formula1>0.01</formula1>
      <formula2>100</formula2>
    </dataValidation>
  </dataValidations>
  <pageMargins left="0.25" right="0.25" top="0.5" bottom="0.25" header="0.3" footer="0.3"/>
  <pageSetup scale="80" fitToHeight="0" orientation="landscape" r:id="rId1"/>
  <rowBreaks count="1" manualBreakCount="1">
    <brk id="23" max="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B24C3-C4F4-45C8-A693-233FED8CE4EB}">
  <sheetPr>
    <tabColor rgb="FFCC66FF"/>
    <pageSetUpPr autoPageBreaks="0" fitToPage="1"/>
  </sheetPr>
  <dimension ref="A1:G124"/>
  <sheetViews>
    <sheetView showGridLines="0" zoomScaleNormal="100" zoomScaleSheetLayoutView="100" workbookViewId="0">
      <selection activeCell="A3" sqref="A3:D3"/>
    </sheetView>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6" width="20.7109375" style="106" customWidth="1"/>
    <col min="7" max="7" width="2.7109375" style="2" customWidth="1"/>
    <col min="8" max="16384" width="9.140625" style="2"/>
  </cols>
  <sheetData>
    <row r="1" spans="1:7" customFormat="1" ht="15" x14ac:dyDescent="0.25">
      <c r="A1" s="235" t="str">
        <f>'A (Item 2-G)'!$A$1</f>
        <v>GROUP 40524-23254, SCHOOL BUSES (Statewide)                                                             Attachment 1 - Specifications and Pricing (Revised October 15, 2026)</v>
      </c>
      <c r="B1" s="2"/>
      <c r="C1" s="2"/>
      <c r="D1" s="2"/>
      <c r="E1" s="2"/>
      <c r="F1" s="107"/>
    </row>
    <row r="2" spans="1:7" customFormat="1" ht="15.75" thickBot="1" x14ac:dyDescent="0.3">
      <c r="A2" s="144" t="s">
        <v>373</v>
      </c>
      <c r="B2" s="26"/>
      <c r="C2" s="26"/>
      <c r="D2" s="26"/>
      <c r="F2" s="116"/>
    </row>
    <row r="3" spans="1:7" ht="24" thickBot="1" x14ac:dyDescent="0.25">
      <c r="A3" s="270" t="s">
        <v>561</v>
      </c>
      <c r="B3" s="271"/>
      <c r="C3" s="271"/>
      <c r="D3" s="272"/>
      <c r="E3" s="9"/>
      <c r="F3" s="145"/>
      <c r="G3" s="9"/>
    </row>
    <row r="4" spans="1:7" ht="45.75" customHeight="1" thickBot="1" x14ac:dyDescent="0.25">
      <c r="A4" s="273" t="s">
        <v>560</v>
      </c>
      <c r="B4" s="274"/>
      <c r="C4" s="274"/>
      <c r="D4" s="275"/>
      <c r="E4" s="9"/>
      <c r="F4" s="122"/>
      <c r="G4" s="9"/>
    </row>
    <row r="5" spans="1:7" s="4" customFormat="1" ht="11.25" customHeight="1" thickBot="1" x14ac:dyDescent="0.3">
      <c r="A5" s="57"/>
      <c r="B5" s="57"/>
      <c r="C5" s="57"/>
      <c r="D5" s="57"/>
      <c r="E5" s="57"/>
      <c r="F5" s="123"/>
    </row>
    <row r="6" spans="1:7" s="8" customFormat="1" ht="16.5" thickBot="1" x14ac:dyDescent="0.25">
      <c r="A6" s="276" t="s">
        <v>151</v>
      </c>
      <c r="B6" s="277"/>
      <c r="C6" s="277"/>
      <c r="D6" s="278"/>
      <c r="E6" s="36"/>
      <c r="F6" s="95" t="s">
        <v>567</v>
      </c>
      <c r="G6" s="36"/>
    </row>
    <row r="7" spans="1:7" s="4" customFormat="1" ht="15" customHeight="1" thickBot="1" x14ac:dyDescent="0.3">
      <c r="A7" s="41" t="s">
        <v>6</v>
      </c>
      <c r="B7" s="27" t="s">
        <v>165</v>
      </c>
      <c r="C7" s="32"/>
      <c r="D7" s="40"/>
      <c r="E7" s="37"/>
      <c r="F7" s="97" t="s">
        <v>189</v>
      </c>
      <c r="G7" s="37"/>
    </row>
    <row r="8" spans="1:7" ht="65.25" thickTop="1" thickBot="1" x14ac:dyDescent="0.25">
      <c r="A8" s="42" t="s">
        <v>190</v>
      </c>
      <c r="B8" s="267" t="s">
        <v>510</v>
      </c>
      <c r="C8" s="268"/>
      <c r="D8" s="269"/>
      <c r="E8" s="13"/>
      <c r="F8" s="207" t="s">
        <v>528</v>
      </c>
      <c r="G8" s="13"/>
    </row>
    <row r="9" spans="1:7" s="8" customFormat="1" ht="44.25" customHeight="1" thickTop="1" thickBot="1" x14ac:dyDescent="0.25">
      <c r="A9" s="42" t="s">
        <v>136</v>
      </c>
      <c r="B9" s="267" t="s">
        <v>196</v>
      </c>
      <c r="C9" s="268"/>
      <c r="D9" s="269"/>
      <c r="E9" s="13"/>
      <c r="F9" s="207" t="s">
        <v>608</v>
      </c>
      <c r="G9" s="13"/>
    </row>
    <row r="10" spans="1:7" ht="12.75" customHeight="1" thickTop="1" x14ac:dyDescent="0.2">
      <c r="A10" s="43" t="s">
        <v>0</v>
      </c>
      <c r="B10" s="258" t="s">
        <v>154</v>
      </c>
      <c r="C10" s="259"/>
      <c r="D10" s="260"/>
      <c r="E10" s="13"/>
      <c r="F10" s="127" t="s">
        <v>529</v>
      </c>
      <c r="G10" s="13"/>
    </row>
    <row r="11" spans="1:7" x14ac:dyDescent="0.2">
      <c r="A11" s="43" t="s">
        <v>1</v>
      </c>
      <c r="B11" s="258" t="s">
        <v>153</v>
      </c>
      <c r="C11" s="259"/>
      <c r="D11" s="260"/>
      <c r="E11" s="13"/>
      <c r="F11" s="127" t="s">
        <v>530</v>
      </c>
      <c r="G11" s="13"/>
    </row>
    <row r="12" spans="1:7" ht="13.5" customHeight="1" thickBot="1" x14ac:dyDescent="0.25">
      <c r="A12" s="44" t="s">
        <v>2</v>
      </c>
      <c r="B12" s="261" t="s">
        <v>155</v>
      </c>
      <c r="C12" s="262"/>
      <c r="D12" s="263"/>
      <c r="E12" s="13"/>
      <c r="F12" s="128" t="s">
        <v>531</v>
      </c>
      <c r="G12" s="13"/>
    </row>
    <row r="13" spans="1:7" ht="13.5" thickTop="1" x14ac:dyDescent="0.2">
      <c r="A13" s="43" t="s">
        <v>3</v>
      </c>
      <c r="B13" s="258" t="s">
        <v>157</v>
      </c>
      <c r="C13" s="259"/>
      <c r="D13" s="260"/>
      <c r="E13" s="13"/>
      <c r="F13" s="127" t="s">
        <v>529</v>
      </c>
      <c r="G13" s="13"/>
    </row>
    <row r="14" spans="1:7" x14ac:dyDescent="0.2">
      <c r="A14" s="43" t="s">
        <v>4</v>
      </c>
      <c r="B14" s="258" t="s">
        <v>156</v>
      </c>
      <c r="C14" s="259"/>
      <c r="D14" s="260"/>
      <c r="E14" s="13"/>
      <c r="F14" s="127" t="s">
        <v>530</v>
      </c>
      <c r="G14" s="13"/>
    </row>
    <row r="15" spans="1:7" ht="15.75" customHeight="1" thickBot="1" x14ac:dyDescent="0.25">
      <c r="A15" s="45" t="s">
        <v>5</v>
      </c>
      <c r="B15" s="261" t="s">
        <v>158</v>
      </c>
      <c r="C15" s="262"/>
      <c r="D15" s="263"/>
      <c r="E15" s="13"/>
      <c r="F15" s="129" t="s">
        <v>530</v>
      </c>
      <c r="G15" s="13"/>
    </row>
    <row r="16" spans="1:7" ht="29.25" customHeight="1" thickTop="1" x14ac:dyDescent="0.2">
      <c r="A16" s="43" t="s">
        <v>101</v>
      </c>
      <c r="B16" s="264" t="s">
        <v>160</v>
      </c>
      <c r="C16" s="265"/>
      <c r="D16" s="266"/>
      <c r="E16" s="13"/>
      <c r="F16" s="130">
        <v>0</v>
      </c>
      <c r="G16" s="13"/>
    </row>
    <row r="17" spans="1:7" ht="30.75" customHeight="1" thickBot="1" x14ac:dyDescent="0.25">
      <c r="A17" s="45" t="s">
        <v>43</v>
      </c>
      <c r="B17" s="261" t="s">
        <v>159</v>
      </c>
      <c r="C17" s="262"/>
      <c r="D17" s="263"/>
      <c r="E17" s="13"/>
      <c r="F17" s="129" t="s">
        <v>402</v>
      </c>
      <c r="G17" s="13"/>
    </row>
    <row r="18" spans="1:7" s="10" customFormat="1" ht="14.25" thickTop="1" thickBot="1" x14ac:dyDescent="0.25">
      <c r="C18" s="11"/>
      <c r="D18" s="11"/>
      <c r="E18" s="11"/>
      <c r="F18" s="111"/>
      <c r="G18" s="11"/>
    </row>
    <row r="19" spans="1:7" s="12" customFormat="1" ht="16.5" thickBot="1" x14ac:dyDescent="0.25">
      <c r="A19" s="276" t="s">
        <v>150</v>
      </c>
      <c r="B19" s="277"/>
      <c r="C19" s="277"/>
      <c r="D19" s="278"/>
      <c r="E19" s="36"/>
      <c r="F19" s="95" t="s">
        <v>567</v>
      </c>
      <c r="G19" s="36"/>
    </row>
    <row r="20" spans="1:7" s="4" customFormat="1" ht="15" customHeight="1" thickBot="1" x14ac:dyDescent="0.3">
      <c r="A20" s="55" t="s">
        <v>6</v>
      </c>
      <c r="B20" s="31" t="s">
        <v>165</v>
      </c>
      <c r="C20" s="33"/>
      <c r="D20" s="48"/>
      <c r="E20" s="37"/>
      <c r="F20" s="97" t="s">
        <v>189</v>
      </c>
      <c r="G20" s="37"/>
    </row>
    <row r="21" spans="1:7" ht="56.25" customHeight="1" x14ac:dyDescent="0.2">
      <c r="A21" s="46" t="s">
        <v>42</v>
      </c>
      <c r="B21" s="279" t="s">
        <v>161</v>
      </c>
      <c r="C21" s="280"/>
      <c r="D21" s="281"/>
      <c r="E21" s="13"/>
      <c r="F21" s="234">
        <f>253500*('PPI Adj'!D6)</f>
        <v>295834.5</v>
      </c>
      <c r="G21" s="13"/>
    </row>
    <row r="22" spans="1:7" ht="42.75" customHeight="1" x14ac:dyDescent="0.2">
      <c r="A22" s="43" t="s">
        <v>20</v>
      </c>
      <c r="B22" s="258" t="s">
        <v>162</v>
      </c>
      <c r="C22" s="259"/>
      <c r="D22" s="260"/>
      <c r="E22" s="13"/>
      <c r="F22" s="231" t="s">
        <v>182</v>
      </c>
      <c r="G22" s="13"/>
    </row>
    <row r="23" spans="1:7" ht="33" customHeight="1" thickBot="1" x14ac:dyDescent="0.25">
      <c r="A23" s="47" t="s">
        <v>41</v>
      </c>
      <c r="B23" s="300" t="s">
        <v>163</v>
      </c>
      <c r="C23" s="301"/>
      <c r="D23" s="302"/>
      <c r="E23" s="1"/>
      <c r="F23" s="214">
        <v>5</v>
      </c>
      <c r="G23" s="1"/>
    </row>
    <row r="24" spans="1:7" ht="13.5" thickBot="1" x14ac:dyDescent="0.25">
      <c r="A24" s="58"/>
      <c r="B24" s="1"/>
      <c r="C24" s="1"/>
      <c r="D24" s="1"/>
      <c r="E24" s="1"/>
      <c r="F24" s="102"/>
      <c r="G24" s="1"/>
    </row>
    <row r="25" spans="1:7" s="8" customFormat="1" ht="16.5" thickBot="1" x14ac:dyDescent="0.25">
      <c r="A25" s="303" t="s">
        <v>164</v>
      </c>
      <c r="B25" s="304"/>
      <c r="C25" s="304"/>
      <c r="D25" s="305"/>
      <c r="E25" s="38"/>
      <c r="F25" s="95" t="s">
        <v>567</v>
      </c>
      <c r="G25" s="38"/>
    </row>
    <row r="26" spans="1:7" s="3" customFormat="1" ht="15" customHeight="1" thickBot="1" x14ac:dyDescent="0.3">
      <c r="A26" s="55" t="s">
        <v>6</v>
      </c>
      <c r="B26" s="56" t="s">
        <v>7</v>
      </c>
      <c r="C26" s="306" t="s">
        <v>165</v>
      </c>
      <c r="D26" s="307"/>
      <c r="E26" s="39"/>
      <c r="F26" s="97" t="s">
        <v>189</v>
      </c>
      <c r="G26" s="39"/>
    </row>
    <row r="27" spans="1:7" s="13" customFormat="1" ht="41.1" customHeight="1" thickBot="1" x14ac:dyDescent="0.3">
      <c r="A27" s="49" t="s">
        <v>8</v>
      </c>
      <c r="B27" s="29" t="s">
        <v>131</v>
      </c>
      <c r="C27" s="282" t="s">
        <v>118</v>
      </c>
      <c r="D27" s="283"/>
      <c r="E27" s="34"/>
      <c r="F27" s="133">
        <v>14300</v>
      </c>
      <c r="G27" s="34"/>
    </row>
    <row r="28" spans="1:7" s="13" customFormat="1" ht="13.5" thickBot="1" x14ac:dyDescent="0.3">
      <c r="A28" s="284" t="s">
        <v>21</v>
      </c>
      <c r="B28" s="286" t="s">
        <v>173</v>
      </c>
      <c r="C28" s="288" t="s">
        <v>67</v>
      </c>
      <c r="D28" s="289"/>
      <c r="E28" s="34"/>
      <c r="F28" s="134">
        <v>5</v>
      </c>
      <c r="G28" s="34"/>
    </row>
    <row r="29" spans="1:7" s="13" customFormat="1" ht="15.95" customHeight="1" thickBot="1" x14ac:dyDescent="0.3">
      <c r="A29" s="285"/>
      <c r="B29" s="287"/>
      <c r="C29" s="282" t="s">
        <v>68</v>
      </c>
      <c r="D29" s="283"/>
      <c r="E29" s="34"/>
      <c r="F29" s="133">
        <v>20</v>
      </c>
      <c r="G29" s="34"/>
    </row>
    <row r="30" spans="1:7" s="13" customFormat="1" ht="13.5" thickBot="1" x14ac:dyDescent="0.3">
      <c r="A30" s="50" t="s">
        <v>123</v>
      </c>
      <c r="B30" s="30" t="s">
        <v>108</v>
      </c>
      <c r="C30" s="298"/>
      <c r="D30" s="299"/>
      <c r="E30" s="35"/>
      <c r="F30" s="133"/>
      <c r="G30" s="35"/>
    </row>
    <row r="31" spans="1:7" s="13" customFormat="1" ht="12.75" customHeight="1" x14ac:dyDescent="0.25">
      <c r="A31" s="284" t="s">
        <v>59</v>
      </c>
      <c r="B31" s="286"/>
      <c r="C31" s="288" t="s">
        <v>58</v>
      </c>
      <c r="D31" s="289"/>
      <c r="E31" s="34"/>
      <c r="F31" s="134" t="s">
        <v>532</v>
      </c>
      <c r="G31" s="34"/>
    </row>
    <row r="32" spans="1:7" s="13" customFormat="1" ht="12.75" customHeight="1" x14ac:dyDescent="0.25">
      <c r="A32" s="292"/>
      <c r="B32" s="293"/>
      <c r="C32" s="294" t="s">
        <v>57</v>
      </c>
      <c r="D32" s="295"/>
      <c r="E32" s="34"/>
      <c r="F32" s="127" t="s">
        <v>533</v>
      </c>
      <c r="G32" s="34"/>
    </row>
    <row r="33" spans="1:7" s="13" customFormat="1" ht="12.75" customHeight="1" x14ac:dyDescent="0.25">
      <c r="A33" s="292"/>
      <c r="B33" s="293"/>
      <c r="C33" s="294" t="s">
        <v>69</v>
      </c>
      <c r="D33" s="295"/>
      <c r="E33" s="34"/>
      <c r="F33" s="127" t="s">
        <v>534</v>
      </c>
      <c r="G33" s="34"/>
    </row>
    <row r="34" spans="1:7" s="13" customFormat="1" ht="12.75" customHeight="1" x14ac:dyDescent="0.25">
      <c r="A34" s="292"/>
      <c r="B34" s="293"/>
      <c r="C34" s="294" t="s">
        <v>70</v>
      </c>
      <c r="D34" s="295"/>
      <c r="E34" s="34"/>
      <c r="F34" s="127" t="s">
        <v>535</v>
      </c>
      <c r="G34" s="34"/>
    </row>
    <row r="35" spans="1:7" s="13" customFormat="1" ht="14.1" customHeight="1" thickBot="1" x14ac:dyDescent="0.3">
      <c r="A35" s="285"/>
      <c r="B35" s="287"/>
      <c r="C35" s="290" t="s">
        <v>111</v>
      </c>
      <c r="D35" s="291"/>
      <c r="E35" s="34"/>
      <c r="F35" s="135" t="s">
        <v>536</v>
      </c>
      <c r="G35" s="34"/>
    </row>
    <row r="36" spans="1:7" s="13" customFormat="1" ht="15.6" customHeight="1" x14ac:dyDescent="0.25">
      <c r="A36" s="284" t="s">
        <v>11</v>
      </c>
      <c r="B36" s="286"/>
      <c r="C36" s="288" t="s">
        <v>24</v>
      </c>
      <c r="D36" s="289"/>
      <c r="E36" s="34"/>
      <c r="F36" s="134" t="s">
        <v>537</v>
      </c>
      <c r="G36" s="34"/>
    </row>
    <row r="37" spans="1:7" s="13" customFormat="1" ht="15.6" customHeight="1" thickBot="1" x14ac:dyDescent="0.3">
      <c r="A37" s="285"/>
      <c r="B37" s="287"/>
      <c r="C37" s="290" t="s">
        <v>22</v>
      </c>
      <c r="D37" s="291"/>
      <c r="E37" s="34"/>
      <c r="F37" s="135" t="s">
        <v>537</v>
      </c>
      <c r="G37" s="34"/>
    </row>
    <row r="38" spans="1:7" s="13" customFormat="1" ht="15.6" customHeight="1" x14ac:dyDescent="0.25">
      <c r="A38" s="284" t="s">
        <v>16</v>
      </c>
      <c r="B38" s="286"/>
      <c r="C38" s="288" t="s">
        <v>24</v>
      </c>
      <c r="D38" s="289"/>
      <c r="E38" s="34"/>
      <c r="F38" s="134" t="s">
        <v>538</v>
      </c>
      <c r="G38" s="34"/>
    </row>
    <row r="39" spans="1:7" s="13" customFormat="1" ht="14.1" customHeight="1" thickBot="1" x14ac:dyDescent="0.3">
      <c r="A39" s="285"/>
      <c r="B39" s="287"/>
      <c r="C39" s="290" t="s">
        <v>23</v>
      </c>
      <c r="D39" s="291"/>
      <c r="E39" s="34"/>
      <c r="F39" s="135" t="s">
        <v>538</v>
      </c>
      <c r="G39" s="34"/>
    </row>
    <row r="40" spans="1:7" s="13" customFormat="1" ht="18.600000000000001" customHeight="1" thickBot="1" x14ac:dyDescent="0.3">
      <c r="A40" s="50" t="s">
        <v>52</v>
      </c>
      <c r="B40" s="30" t="s">
        <v>53</v>
      </c>
      <c r="C40" s="298"/>
      <c r="D40" s="299"/>
      <c r="E40" s="35"/>
      <c r="F40" s="133"/>
      <c r="G40" s="35"/>
    </row>
    <row r="41" spans="1:7" s="13" customFormat="1" ht="13.5" customHeight="1" x14ac:dyDescent="0.25">
      <c r="A41" s="284" t="s">
        <v>12</v>
      </c>
      <c r="B41" s="286" t="s">
        <v>142</v>
      </c>
      <c r="C41" s="288" t="s">
        <v>174</v>
      </c>
      <c r="D41" s="289"/>
      <c r="E41" s="34"/>
      <c r="F41" s="134" t="s">
        <v>539</v>
      </c>
      <c r="G41" s="34"/>
    </row>
    <row r="42" spans="1:7" s="13" customFormat="1" ht="13.5" customHeight="1" x14ac:dyDescent="0.25">
      <c r="A42" s="292"/>
      <c r="B42" s="293"/>
      <c r="C42" s="294" t="s">
        <v>175</v>
      </c>
      <c r="D42" s="295"/>
      <c r="E42" s="34"/>
      <c r="F42" s="127" t="s">
        <v>540</v>
      </c>
      <c r="G42" s="34"/>
    </row>
    <row r="43" spans="1:7" s="13" customFormat="1" ht="13.5" customHeight="1" x14ac:dyDescent="0.25">
      <c r="A43" s="292"/>
      <c r="B43" s="293"/>
      <c r="C43" s="294" t="s">
        <v>176</v>
      </c>
      <c r="D43" s="295"/>
      <c r="E43" s="34"/>
      <c r="F43" s="126" t="s">
        <v>539</v>
      </c>
      <c r="G43" s="34"/>
    </row>
    <row r="44" spans="1:7" s="13" customFormat="1" ht="13.5" customHeight="1" x14ac:dyDescent="0.25">
      <c r="A44" s="292"/>
      <c r="B44" s="293"/>
      <c r="C44" s="294" t="s">
        <v>177</v>
      </c>
      <c r="D44" s="295"/>
      <c r="E44" s="34"/>
      <c r="F44" s="127" t="s">
        <v>541</v>
      </c>
      <c r="G44" s="34"/>
    </row>
    <row r="45" spans="1:7" s="13" customFormat="1" ht="13.5" customHeight="1" x14ac:dyDescent="0.25">
      <c r="A45" s="292"/>
      <c r="B45" s="293"/>
      <c r="C45" s="294" t="s">
        <v>112</v>
      </c>
      <c r="D45" s="295"/>
      <c r="E45" s="34"/>
      <c r="F45" s="127" t="s">
        <v>542</v>
      </c>
      <c r="G45" s="34"/>
    </row>
    <row r="46" spans="1:7" s="13" customFormat="1" ht="13.5" customHeight="1" x14ac:dyDescent="0.25">
      <c r="A46" s="292"/>
      <c r="B46" s="293"/>
      <c r="C46" s="294" t="s">
        <v>113</v>
      </c>
      <c r="D46" s="295"/>
      <c r="E46" s="34"/>
      <c r="F46" s="127" t="s">
        <v>543</v>
      </c>
      <c r="G46" s="34"/>
    </row>
    <row r="47" spans="1:7" s="13" customFormat="1" ht="13.5" customHeight="1" x14ac:dyDescent="0.25">
      <c r="A47" s="292"/>
      <c r="B47" s="293"/>
      <c r="C47" s="294" t="s">
        <v>114</v>
      </c>
      <c r="D47" s="295"/>
      <c r="E47" s="34"/>
      <c r="F47" s="127" t="s">
        <v>542</v>
      </c>
      <c r="G47" s="34"/>
    </row>
    <row r="48" spans="1:7" s="13" customFormat="1" ht="13.5" customHeight="1" thickBot="1" x14ac:dyDescent="0.3">
      <c r="A48" s="285"/>
      <c r="B48" s="287"/>
      <c r="C48" s="290" t="s">
        <v>115</v>
      </c>
      <c r="D48" s="291"/>
      <c r="E48" s="34"/>
      <c r="F48" s="135" t="s">
        <v>543</v>
      </c>
      <c r="G48" s="34"/>
    </row>
    <row r="49" spans="1:7" s="13" customFormat="1" ht="12.75" customHeight="1" x14ac:dyDescent="0.25">
      <c r="A49" s="284" t="s">
        <v>10</v>
      </c>
      <c r="B49" s="286" t="s">
        <v>62</v>
      </c>
      <c r="C49" s="288" t="s">
        <v>116</v>
      </c>
      <c r="D49" s="289"/>
      <c r="E49" s="34"/>
      <c r="F49" s="134">
        <v>1</v>
      </c>
      <c r="G49" s="34"/>
    </row>
    <row r="50" spans="1:7" s="13" customFormat="1" ht="12.75" customHeight="1" x14ac:dyDescent="0.25">
      <c r="A50" s="292"/>
      <c r="B50" s="293"/>
      <c r="C50" s="294" t="s">
        <v>117</v>
      </c>
      <c r="D50" s="295"/>
      <c r="E50" s="34"/>
      <c r="F50" s="127" t="s">
        <v>202</v>
      </c>
      <c r="G50" s="34"/>
    </row>
    <row r="51" spans="1:7" s="13" customFormat="1" ht="13.5" customHeight="1" thickBot="1" x14ac:dyDescent="0.3">
      <c r="A51" s="285"/>
      <c r="B51" s="287"/>
      <c r="C51" s="290" t="s">
        <v>71</v>
      </c>
      <c r="D51" s="291"/>
      <c r="E51" s="34"/>
      <c r="F51" s="136" t="s">
        <v>517</v>
      </c>
      <c r="G51" s="34"/>
    </row>
    <row r="52" spans="1:7" s="13" customFormat="1" ht="42.6" customHeight="1" thickBot="1" x14ac:dyDescent="0.3">
      <c r="A52" s="50" t="s">
        <v>190</v>
      </c>
      <c r="B52" s="28" t="s">
        <v>191</v>
      </c>
      <c r="C52" s="310" t="s">
        <v>192</v>
      </c>
      <c r="D52" s="311"/>
      <c r="E52" s="34"/>
      <c r="F52" s="134">
        <v>120</v>
      </c>
      <c r="G52" s="34"/>
    </row>
    <row r="53" spans="1:7" s="13" customFormat="1" ht="12.75" customHeight="1" x14ac:dyDescent="0.25">
      <c r="A53" s="284" t="s">
        <v>26</v>
      </c>
      <c r="B53" s="286"/>
      <c r="C53" s="288" t="s">
        <v>193</v>
      </c>
      <c r="D53" s="289"/>
      <c r="E53" s="34"/>
      <c r="F53" s="134">
        <v>2</v>
      </c>
      <c r="G53" s="34"/>
    </row>
    <row r="54" spans="1:7" s="13" customFormat="1" ht="12.75" customHeight="1" x14ac:dyDescent="0.25">
      <c r="A54" s="292"/>
      <c r="B54" s="293"/>
      <c r="C54" s="294" t="s">
        <v>194</v>
      </c>
      <c r="D54" s="295"/>
      <c r="E54" s="34"/>
      <c r="F54" s="127" t="s">
        <v>544</v>
      </c>
      <c r="G54" s="34"/>
    </row>
    <row r="55" spans="1:7" s="13" customFormat="1" ht="13.5" customHeight="1" thickBot="1" x14ac:dyDescent="0.3">
      <c r="A55" s="285"/>
      <c r="B55" s="287"/>
      <c r="C55" s="290" t="s">
        <v>195</v>
      </c>
      <c r="D55" s="291"/>
      <c r="E55" s="34"/>
      <c r="F55" s="135" t="s">
        <v>545</v>
      </c>
      <c r="G55" s="34"/>
    </row>
    <row r="56" spans="1:7" s="13" customFormat="1" ht="15.95" customHeight="1" thickBot="1" x14ac:dyDescent="0.3">
      <c r="A56" s="50" t="s">
        <v>44</v>
      </c>
      <c r="B56" s="30" t="s">
        <v>508</v>
      </c>
      <c r="C56" s="298"/>
      <c r="D56" s="299"/>
      <c r="E56" s="35"/>
      <c r="F56" s="137"/>
      <c r="G56" s="35"/>
    </row>
    <row r="57" spans="1:7" s="13" customFormat="1" ht="27" customHeight="1" thickBot="1" x14ac:dyDescent="0.3">
      <c r="A57" s="50" t="s">
        <v>44</v>
      </c>
      <c r="B57" s="30" t="s">
        <v>63</v>
      </c>
      <c r="C57" s="298"/>
      <c r="D57" s="299"/>
      <c r="E57" s="35"/>
      <c r="F57" s="137"/>
      <c r="G57" s="35"/>
    </row>
    <row r="58" spans="1:7" s="13" customFormat="1" ht="28.5" customHeight="1" thickBot="1" x14ac:dyDescent="0.3">
      <c r="A58" s="50" t="s">
        <v>44</v>
      </c>
      <c r="B58" s="30" t="s">
        <v>64</v>
      </c>
      <c r="C58" s="298"/>
      <c r="D58" s="299"/>
      <c r="E58" s="35"/>
      <c r="F58" s="137"/>
      <c r="G58" s="35"/>
    </row>
    <row r="59" spans="1:7" s="13" customFormat="1" ht="15.95" customHeight="1" thickBot="1" x14ac:dyDescent="0.3">
      <c r="A59" s="50" t="s">
        <v>50</v>
      </c>
      <c r="B59" s="30" t="s">
        <v>65</v>
      </c>
      <c r="C59" s="298"/>
      <c r="D59" s="299"/>
      <c r="E59" s="35"/>
      <c r="F59" s="137"/>
      <c r="G59" s="35"/>
    </row>
    <row r="60" spans="1:7" s="13" customFormat="1" ht="26.25" thickBot="1" x14ac:dyDescent="0.3">
      <c r="A60" s="50" t="s">
        <v>27</v>
      </c>
      <c r="B60" s="30"/>
      <c r="C60" s="310" t="s">
        <v>77</v>
      </c>
      <c r="D60" s="311"/>
      <c r="E60" s="34"/>
      <c r="F60" s="133" t="s">
        <v>546</v>
      </c>
      <c r="G60" s="34"/>
    </row>
    <row r="61" spans="1:7" s="13" customFormat="1" ht="42.6" customHeight="1" thickBot="1" x14ac:dyDescent="0.3">
      <c r="A61" s="50" t="s">
        <v>51</v>
      </c>
      <c r="B61" s="30" t="s">
        <v>79</v>
      </c>
      <c r="C61" s="298"/>
      <c r="D61" s="299"/>
      <c r="E61" s="35"/>
      <c r="F61" s="133"/>
      <c r="G61" s="35"/>
    </row>
    <row r="62" spans="1:7" s="13" customFormat="1" ht="40.5" customHeight="1" thickBot="1" x14ac:dyDescent="0.3">
      <c r="A62" s="50" t="s">
        <v>54</v>
      </c>
      <c r="B62" s="30" t="s">
        <v>80</v>
      </c>
      <c r="C62" s="298"/>
      <c r="D62" s="299"/>
      <c r="E62" s="35"/>
      <c r="F62" s="133"/>
      <c r="G62" s="35"/>
    </row>
    <row r="63" spans="1:7" s="13" customFormat="1" ht="79.5" customHeight="1" thickBot="1" x14ac:dyDescent="0.3">
      <c r="A63" s="50" t="s">
        <v>29</v>
      </c>
      <c r="B63" s="30" t="s">
        <v>132</v>
      </c>
      <c r="C63" s="298"/>
      <c r="D63" s="299"/>
      <c r="E63" s="35"/>
      <c r="F63" s="133"/>
      <c r="G63" s="35"/>
    </row>
    <row r="64" spans="1:7" s="13" customFormat="1" ht="39" thickBot="1" x14ac:dyDescent="0.3">
      <c r="A64" s="50" t="s">
        <v>31</v>
      </c>
      <c r="B64" s="30" t="s">
        <v>94</v>
      </c>
      <c r="C64" s="310" t="s">
        <v>30</v>
      </c>
      <c r="D64" s="311"/>
      <c r="E64" s="34"/>
      <c r="F64" s="133" t="s">
        <v>547</v>
      </c>
      <c r="G64" s="34"/>
    </row>
    <row r="65" spans="1:7" s="13" customFormat="1" ht="27" customHeight="1" thickBot="1" x14ac:dyDescent="0.3">
      <c r="A65" s="50" t="s">
        <v>55</v>
      </c>
      <c r="B65" s="30" t="s">
        <v>95</v>
      </c>
      <c r="C65" s="298"/>
      <c r="D65" s="299"/>
      <c r="E65" s="35"/>
      <c r="F65" s="133"/>
      <c r="G65" s="35"/>
    </row>
    <row r="66" spans="1:7" s="13" customFormat="1" ht="39" thickBot="1" x14ac:dyDescent="0.3">
      <c r="A66" s="50" t="s">
        <v>32</v>
      </c>
      <c r="B66" s="30" t="s">
        <v>96</v>
      </c>
      <c r="C66" s="310" t="s">
        <v>30</v>
      </c>
      <c r="D66" s="311"/>
      <c r="E66" s="34"/>
      <c r="F66" s="133" t="s">
        <v>548</v>
      </c>
      <c r="G66" s="34"/>
    </row>
    <row r="67" spans="1:7" s="13" customFormat="1" ht="41.1" customHeight="1" thickBot="1" x14ac:dyDescent="0.3">
      <c r="A67" s="50" t="s">
        <v>56</v>
      </c>
      <c r="B67" s="30" t="s">
        <v>167</v>
      </c>
      <c r="C67" s="298"/>
      <c r="D67" s="299"/>
      <c r="E67" s="35"/>
      <c r="F67" s="133"/>
      <c r="G67" s="35"/>
    </row>
    <row r="68" spans="1:7" s="13" customFormat="1" ht="27" customHeight="1" thickBot="1" x14ac:dyDescent="0.3">
      <c r="A68" s="50" t="s">
        <v>48</v>
      </c>
      <c r="B68" s="30" t="s">
        <v>47</v>
      </c>
      <c r="C68" s="298"/>
      <c r="D68" s="299"/>
      <c r="E68" s="35"/>
      <c r="F68" s="133"/>
      <c r="G68" s="35"/>
    </row>
    <row r="69" spans="1:7" s="13" customFormat="1" ht="40.5" customHeight="1" thickBot="1" x14ac:dyDescent="0.3">
      <c r="A69" s="50" t="s">
        <v>49</v>
      </c>
      <c r="B69" s="30" t="s">
        <v>103</v>
      </c>
      <c r="C69" s="298" t="s">
        <v>521</v>
      </c>
      <c r="D69" s="299"/>
      <c r="E69" s="35"/>
      <c r="F69" s="133" t="s">
        <v>549</v>
      </c>
      <c r="G69" s="35"/>
    </row>
    <row r="70" spans="1:7" s="13" customFormat="1" ht="26.25" thickBot="1" x14ac:dyDescent="0.3">
      <c r="A70" s="50" t="s">
        <v>46</v>
      </c>
      <c r="B70" s="30" t="s">
        <v>81</v>
      </c>
      <c r="C70" s="298"/>
      <c r="D70" s="299"/>
      <c r="E70" s="35"/>
      <c r="F70" s="133"/>
      <c r="G70" s="35"/>
    </row>
    <row r="71" spans="1:7" ht="13.5" thickBot="1" x14ac:dyDescent="0.25">
      <c r="F71" s="112"/>
    </row>
    <row r="72" spans="1:7" s="17" customFormat="1" ht="18.75" thickBot="1" x14ac:dyDescent="0.3">
      <c r="A72" s="303" t="s">
        <v>168</v>
      </c>
      <c r="B72" s="304"/>
      <c r="C72" s="304"/>
      <c r="D72" s="305"/>
      <c r="E72" s="38"/>
      <c r="F72" s="95" t="s">
        <v>567</v>
      </c>
    </row>
    <row r="73" spans="1:7" s="3" customFormat="1" ht="15" customHeight="1" thickBot="1" x14ac:dyDescent="0.3">
      <c r="A73" s="334" t="s">
        <v>169</v>
      </c>
      <c r="B73" s="335"/>
      <c r="C73" s="335"/>
      <c r="D73" s="307"/>
      <c r="E73" s="39"/>
      <c r="F73" s="97" t="s">
        <v>189</v>
      </c>
    </row>
    <row r="74" spans="1:7" s="13" customFormat="1" ht="12.75" customHeight="1" x14ac:dyDescent="0.25">
      <c r="A74" s="336" t="s">
        <v>82</v>
      </c>
      <c r="B74" s="337"/>
      <c r="C74" s="337"/>
      <c r="D74" s="338"/>
      <c r="E74" s="35"/>
      <c r="F74" s="233" t="s">
        <v>182</v>
      </c>
    </row>
    <row r="75" spans="1:7" s="13" customFormat="1" ht="12.75" customHeight="1" x14ac:dyDescent="0.25">
      <c r="A75" s="339" t="s">
        <v>83</v>
      </c>
      <c r="B75" s="340"/>
      <c r="C75" s="340"/>
      <c r="D75" s="341"/>
      <c r="E75" s="35"/>
      <c r="F75" s="138">
        <f>-1378.3*('PPI Adj'!D6)</f>
        <v>-1608.4761000000001</v>
      </c>
    </row>
    <row r="76" spans="1:7" s="13" customFormat="1" ht="12.75" customHeight="1" x14ac:dyDescent="0.25">
      <c r="A76" s="324" t="s">
        <v>34</v>
      </c>
      <c r="B76" s="325"/>
      <c r="C76" s="325"/>
      <c r="D76" s="326"/>
      <c r="E76" s="34"/>
      <c r="F76" s="139" t="s">
        <v>188</v>
      </c>
    </row>
    <row r="77" spans="1:7" s="13" customFormat="1" x14ac:dyDescent="0.25">
      <c r="A77" s="318" t="s">
        <v>35</v>
      </c>
      <c r="B77" s="319"/>
      <c r="C77" s="319"/>
      <c r="D77" s="320"/>
      <c r="E77" s="35"/>
      <c r="F77" s="139" t="s">
        <v>188</v>
      </c>
    </row>
    <row r="78" spans="1:7" s="13" customFormat="1" x14ac:dyDescent="0.25">
      <c r="A78" s="318" t="s">
        <v>36</v>
      </c>
      <c r="B78" s="319"/>
      <c r="C78" s="319"/>
      <c r="D78" s="320"/>
      <c r="E78" s="34"/>
      <c r="F78" s="139" t="s">
        <v>188</v>
      </c>
    </row>
    <row r="79" spans="1:7" s="13" customFormat="1" x14ac:dyDescent="0.25">
      <c r="A79" s="318" t="s">
        <v>60</v>
      </c>
      <c r="B79" s="319"/>
      <c r="C79" s="319"/>
      <c r="D79" s="320"/>
      <c r="E79" s="34"/>
      <c r="F79" s="139" t="s">
        <v>188</v>
      </c>
    </row>
    <row r="80" spans="1:7" s="13" customFormat="1" x14ac:dyDescent="0.25">
      <c r="A80" s="318" t="s">
        <v>61</v>
      </c>
      <c r="B80" s="319"/>
      <c r="C80" s="319"/>
      <c r="D80" s="320"/>
      <c r="E80" s="34"/>
      <c r="F80" s="139" t="s">
        <v>188</v>
      </c>
    </row>
    <row r="81" spans="1:6" s="13" customFormat="1" x14ac:dyDescent="0.25">
      <c r="A81" s="318" t="s">
        <v>86</v>
      </c>
      <c r="B81" s="319"/>
      <c r="C81" s="319"/>
      <c r="D81" s="320"/>
      <c r="E81" s="34"/>
      <c r="F81" s="139">
        <f>2000*('PPI Adj'!D6)</f>
        <v>2334</v>
      </c>
    </row>
    <row r="82" spans="1:6" x14ac:dyDescent="0.2">
      <c r="A82" s="318" t="s">
        <v>85</v>
      </c>
      <c r="B82" s="319"/>
      <c r="C82" s="319"/>
      <c r="D82" s="320"/>
      <c r="E82" s="34"/>
      <c r="F82" s="139">
        <f>11900*('PPI Adj'!D6)</f>
        <v>13887.300000000001</v>
      </c>
    </row>
    <row r="83" spans="1:6" x14ac:dyDescent="0.2">
      <c r="A83" s="318" t="s">
        <v>13</v>
      </c>
      <c r="B83" s="319"/>
      <c r="C83" s="319"/>
      <c r="D83" s="320"/>
      <c r="E83" s="34"/>
      <c r="F83" s="139">
        <f>6600.01*('PPI Adj'!D6)</f>
        <v>7702.2116700000006</v>
      </c>
    </row>
    <row r="84" spans="1:6" x14ac:dyDescent="0.2">
      <c r="A84" s="318" t="s">
        <v>37</v>
      </c>
      <c r="B84" s="319"/>
      <c r="C84" s="319"/>
      <c r="D84" s="320"/>
      <c r="E84" s="35"/>
      <c r="F84" s="139" t="s">
        <v>188</v>
      </c>
    </row>
    <row r="85" spans="1:6" x14ac:dyDescent="0.2">
      <c r="A85" s="318" t="s">
        <v>38</v>
      </c>
      <c r="B85" s="319"/>
      <c r="C85" s="319"/>
      <c r="D85" s="320"/>
      <c r="E85" s="35"/>
      <c r="F85" s="139" t="s">
        <v>188</v>
      </c>
    </row>
    <row r="86" spans="1:6" x14ac:dyDescent="0.2">
      <c r="A86" s="318" t="s">
        <v>39</v>
      </c>
      <c r="B86" s="319"/>
      <c r="C86" s="319"/>
      <c r="D86" s="320"/>
      <c r="E86" s="34"/>
      <c r="F86" s="139">
        <f>580.01*('PPI Adj'!D6)</f>
        <v>676.87166999999999</v>
      </c>
    </row>
    <row r="87" spans="1:6" x14ac:dyDescent="0.2">
      <c r="A87" s="318" t="s">
        <v>90</v>
      </c>
      <c r="B87" s="319"/>
      <c r="C87" s="319"/>
      <c r="D87" s="320"/>
      <c r="E87" s="35"/>
      <c r="F87" s="139">
        <f>700*('PPI Adj'!D6)</f>
        <v>816.9</v>
      </c>
    </row>
    <row r="88" spans="1:6" x14ac:dyDescent="0.2">
      <c r="A88" s="318" t="s">
        <v>40</v>
      </c>
      <c r="B88" s="319"/>
      <c r="C88" s="319"/>
      <c r="D88" s="320"/>
      <c r="E88" s="34"/>
      <c r="F88" s="139" t="s">
        <v>188</v>
      </c>
    </row>
    <row r="89" spans="1:6" x14ac:dyDescent="0.2">
      <c r="A89" s="318" t="s">
        <v>14</v>
      </c>
      <c r="B89" s="319"/>
      <c r="C89" s="319"/>
      <c r="D89" s="320"/>
      <c r="E89" s="34"/>
      <c r="F89" s="139" t="s">
        <v>188</v>
      </c>
    </row>
    <row r="90" spans="1:6" x14ac:dyDescent="0.2">
      <c r="A90" s="318" t="s">
        <v>91</v>
      </c>
      <c r="B90" s="319"/>
      <c r="C90" s="319"/>
      <c r="D90" s="320"/>
      <c r="E90" s="34"/>
      <c r="F90" s="139">
        <f>3199.99*('PPI Adj'!D6)</f>
        <v>3734.3883299999998</v>
      </c>
    </row>
    <row r="91" spans="1:6" ht="13.5" thickBot="1" x14ac:dyDescent="0.25">
      <c r="A91" s="321" t="s">
        <v>92</v>
      </c>
      <c r="B91" s="322"/>
      <c r="C91" s="322"/>
      <c r="D91" s="323"/>
      <c r="E91" s="35"/>
      <c r="F91" s="140">
        <f>-2142.86*('PPI Adj'!D6)</f>
        <v>-2500.7176200000004</v>
      </c>
    </row>
    <row r="92" spans="1:6" ht="13.5" thickBot="1" x14ac:dyDescent="0.25">
      <c r="F92" s="112"/>
    </row>
    <row r="93" spans="1:6" s="17" customFormat="1" ht="18.75" thickBot="1" x14ac:dyDescent="0.3">
      <c r="A93" s="303" t="s">
        <v>166</v>
      </c>
      <c r="B93" s="304"/>
      <c r="C93" s="304"/>
      <c r="D93" s="305"/>
      <c r="E93" s="38"/>
      <c r="F93" s="95" t="s">
        <v>567</v>
      </c>
    </row>
    <row r="94" spans="1:6" s="3" customFormat="1" ht="15" customHeight="1" thickBot="1" x14ac:dyDescent="0.3">
      <c r="A94" s="52" t="s">
        <v>33</v>
      </c>
      <c r="B94" s="24" t="s">
        <v>7</v>
      </c>
      <c r="C94" s="327" t="s">
        <v>165</v>
      </c>
      <c r="D94" s="328"/>
      <c r="E94" s="39"/>
      <c r="F94" s="97" t="s">
        <v>189</v>
      </c>
    </row>
    <row r="95" spans="1:6" s="13" customFormat="1" ht="28.5" customHeight="1" thickBot="1" x14ac:dyDescent="0.3">
      <c r="A95" s="53" t="s">
        <v>82</v>
      </c>
      <c r="B95" s="16" t="s">
        <v>130</v>
      </c>
      <c r="C95" s="329"/>
      <c r="D95" s="330"/>
      <c r="E95" s="35"/>
      <c r="F95" s="133" t="s">
        <v>182</v>
      </c>
    </row>
    <row r="96" spans="1:6" s="13" customFormat="1" ht="41.1" customHeight="1" thickBot="1" x14ac:dyDescent="0.3">
      <c r="A96" s="53" t="s">
        <v>83</v>
      </c>
      <c r="B96" s="23" t="s">
        <v>146</v>
      </c>
      <c r="C96" s="329"/>
      <c r="D96" s="330"/>
      <c r="E96" s="35"/>
      <c r="F96" s="133"/>
    </row>
    <row r="97" spans="1:6" s="13" customFormat="1" ht="26.25" thickBot="1" x14ac:dyDescent="0.3">
      <c r="A97" s="50" t="s">
        <v>34</v>
      </c>
      <c r="B97" s="30" t="s">
        <v>107</v>
      </c>
      <c r="C97" s="310" t="s">
        <v>30</v>
      </c>
      <c r="D97" s="311"/>
      <c r="E97" s="34"/>
      <c r="F97" s="133" t="s">
        <v>550</v>
      </c>
    </row>
    <row r="98" spans="1:6" s="13" customFormat="1" ht="53.1" customHeight="1" thickBot="1" x14ac:dyDescent="0.3">
      <c r="A98" s="50" t="s">
        <v>35</v>
      </c>
      <c r="B98" s="30" t="s">
        <v>97</v>
      </c>
      <c r="C98" s="298"/>
      <c r="D98" s="299"/>
      <c r="E98" s="35"/>
      <c r="F98" s="134" t="s">
        <v>188</v>
      </c>
    </row>
    <row r="99" spans="1:6" s="13" customFormat="1" ht="28.5" customHeight="1" thickBot="1" x14ac:dyDescent="0.3">
      <c r="A99" s="50" t="s">
        <v>36</v>
      </c>
      <c r="B99" s="30" t="s">
        <v>84</v>
      </c>
      <c r="C99" s="310" t="s">
        <v>99</v>
      </c>
      <c r="D99" s="311"/>
      <c r="E99" s="34"/>
      <c r="F99" s="133" t="s">
        <v>551</v>
      </c>
    </row>
    <row r="100" spans="1:6" s="13" customFormat="1" ht="12.75" customHeight="1" x14ac:dyDescent="0.25">
      <c r="A100" s="284" t="s">
        <v>60</v>
      </c>
      <c r="B100" s="286" t="s">
        <v>133</v>
      </c>
      <c r="C100" s="288" t="s">
        <v>176</v>
      </c>
      <c r="D100" s="289"/>
      <c r="E100" s="34"/>
      <c r="F100" s="134" t="s">
        <v>552</v>
      </c>
    </row>
    <row r="101" spans="1:6" s="13" customFormat="1" ht="12.75" customHeight="1" x14ac:dyDescent="0.25">
      <c r="A101" s="292"/>
      <c r="B101" s="293"/>
      <c r="C101" s="294" t="s">
        <v>177</v>
      </c>
      <c r="D101" s="295"/>
      <c r="E101" s="34"/>
      <c r="F101" s="127">
        <v>3530</v>
      </c>
    </row>
    <row r="102" spans="1:6" s="13" customFormat="1" ht="12.75" customHeight="1" x14ac:dyDescent="0.25">
      <c r="A102" s="292"/>
      <c r="B102" s="293"/>
      <c r="C102" s="294" t="s">
        <v>114</v>
      </c>
      <c r="D102" s="295"/>
      <c r="E102" s="34"/>
      <c r="F102" s="127">
        <v>316080</v>
      </c>
    </row>
    <row r="103" spans="1:6" s="13" customFormat="1" ht="30.75" customHeight="1" thickBot="1" x14ac:dyDescent="0.3">
      <c r="A103" s="285"/>
      <c r="B103" s="287"/>
      <c r="C103" s="282" t="s">
        <v>115</v>
      </c>
      <c r="D103" s="283"/>
      <c r="E103" s="34"/>
      <c r="F103" s="135" t="s">
        <v>553</v>
      </c>
    </row>
    <row r="104" spans="1:6" s="13" customFormat="1" ht="12.75" customHeight="1" x14ac:dyDescent="0.25">
      <c r="A104" s="284" t="s">
        <v>61</v>
      </c>
      <c r="B104" s="286" t="s">
        <v>134</v>
      </c>
      <c r="C104" s="288" t="s">
        <v>174</v>
      </c>
      <c r="D104" s="289"/>
      <c r="E104" s="34"/>
      <c r="F104" s="134" t="s">
        <v>539</v>
      </c>
    </row>
    <row r="105" spans="1:6" s="13" customFormat="1" ht="12.75" customHeight="1" x14ac:dyDescent="0.25">
      <c r="A105" s="292"/>
      <c r="B105" s="293"/>
      <c r="C105" s="294" t="s">
        <v>175</v>
      </c>
      <c r="D105" s="295"/>
      <c r="E105" s="34"/>
      <c r="F105" s="126">
        <v>3860</v>
      </c>
    </row>
    <row r="106" spans="1:6" s="13" customFormat="1" ht="12.75" customHeight="1" x14ac:dyDescent="0.25">
      <c r="A106" s="292"/>
      <c r="B106" s="293"/>
      <c r="C106" s="294" t="s">
        <v>176</v>
      </c>
      <c r="D106" s="295"/>
      <c r="E106" s="34"/>
      <c r="F106" s="126" t="s">
        <v>539</v>
      </c>
    </row>
    <row r="107" spans="1:6" s="13" customFormat="1" ht="12.75" customHeight="1" x14ac:dyDescent="0.25">
      <c r="A107" s="292"/>
      <c r="B107" s="293"/>
      <c r="C107" s="294" t="s">
        <v>177</v>
      </c>
      <c r="D107" s="295"/>
      <c r="E107" s="34"/>
      <c r="F107" s="127">
        <v>3530</v>
      </c>
    </row>
    <row r="108" spans="1:6" s="13" customFormat="1" ht="12.75" customHeight="1" x14ac:dyDescent="0.25">
      <c r="A108" s="292"/>
      <c r="B108" s="293"/>
      <c r="C108" s="294" t="s">
        <v>112</v>
      </c>
      <c r="D108" s="295"/>
      <c r="E108" s="34"/>
      <c r="F108" s="127" t="s">
        <v>517</v>
      </c>
    </row>
    <row r="109" spans="1:6" s="13" customFormat="1" ht="12.75" customHeight="1" x14ac:dyDescent="0.25">
      <c r="A109" s="292"/>
      <c r="B109" s="293"/>
      <c r="C109" s="294" t="s">
        <v>113</v>
      </c>
      <c r="D109" s="295"/>
      <c r="E109" s="34"/>
      <c r="F109" s="126" t="s">
        <v>554</v>
      </c>
    </row>
    <row r="110" spans="1:6" s="13" customFormat="1" ht="12.75" customHeight="1" x14ac:dyDescent="0.25">
      <c r="A110" s="292"/>
      <c r="B110" s="293"/>
      <c r="C110" s="294" t="s">
        <v>114</v>
      </c>
      <c r="D110" s="295"/>
      <c r="E110" s="34"/>
      <c r="F110" s="126" t="s">
        <v>517</v>
      </c>
    </row>
    <row r="111" spans="1:6" s="13" customFormat="1" ht="15.95" customHeight="1" thickBot="1" x14ac:dyDescent="0.3">
      <c r="A111" s="285"/>
      <c r="B111" s="287"/>
      <c r="C111" s="282" t="s">
        <v>115</v>
      </c>
      <c r="D111" s="283"/>
      <c r="E111" s="34"/>
      <c r="F111" s="135" t="s">
        <v>554</v>
      </c>
    </row>
    <row r="112" spans="1:6" s="13" customFormat="1" ht="144" customHeight="1" thickBot="1" x14ac:dyDescent="0.3">
      <c r="A112" s="54" t="s">
        <v>86</v>
      </c>
      <c r="B112" s="18" t="s">
        <v>143</v>
      </c>
      <c r="C112" s="310" t="s">
        <v>104</v>
      </c>
      <c r="D112" s="311"/>
      <c r="E112" s="34"/>
      <c r="F112" s="134" t="s">
        <v>555</v>
      </c>
    </row>
    <row r="113" spans="1:6" ht="168.95" customHeight="1" thickBot="1" x14ac:dyDescent="0.25">
      <c r="A113" s="50" t="s">
        <v>85</v>
      </c>
      <c r="B113" s="14" t="s">
        <v>170</v>
      </c>
      <c r="C113" s="310" t="s">
        <v>104</v>
      </c>
      <c r="D113" s="311"/>
      <c r="E113" s="34"/>
      <c r="F113" s="133" t="s">
        <v>556</v>
      </c>
    </row>
    <row r="114" spans="1:6" x14ac:dyDescent="0.2">
      <c r="A114" s="284" t="s">
        <v>13</v>
      </c>
      <c r="B114" s="286" t="s">
        <v>98</v>
      </c>
      <c r="C114" s="288" t="s">
        <v>30</v>
      </c>
      <c r="D114" s="289"/>
      <c r="E114" s="34"/>
      <c r="F114" s="134" t="s">
        <v>557</v>
      </c>
    </row>
    <row r="115" spans="1:6" ht="32.450000000000003" customHeight="1" thickBot="1" x14ac:dyDescent="0.25">
      <c r="A115" s="285"/>
      <c r="B115" s="287"/>
      <c r="C115" s="282" t="s">
        <v>109</v>
      </c>
      <c r="D115" s="283"/>
      <c r="E115" s="34"/>
      <c r="F115" s="135" t="s">
        <v>388</v>
      </c>
    </row>
    <row r="116" spans="1:6" ht="68.099999999999994" customHeight="1" thickBot="1" x14ac:dyDescent="0.25">
      <c r="A116" s="50" t="s">
        <v>37</v>
      </c>
      <c r="B116" s="30" t="s">
        <v>135</v>
      </c>
      <c r="C116" s="298"/>
      <c r="D116" s="299"/>
      <c r="E116" s="35"/>
      <c r="F116" s="133" t="s">
        <v>558</v>
      </c>
    </row>
    <row r="117" spans="1:6" ht="42.6" customHeight="1" thickBot="1" x14ac:dyDescent="0.25">
      <c r="A117" s="50" t="s">
        <v>38</v>
      </c>
      <c r="B117" s="30" t="s">
        <v>87</v>
      </c>
      <c r="C117" s="298"/>
      <c r="D117" s="299"/>
      <c r="E117" s="35"/>
      <c r="F117" s="133"/>
    </row>
    <row r="118" spans="1:6" ht="26.25" thickBot="1" x14ac:dyDescent="0.25">
      <c r="A118" s="50" t="s">
        <v>39</v>
      </c>
      <c r="B118" s="30" t="s">
        <v>106</v>
      </c>
      <c r="C118" s="310" t="s">
        <v>105</v>
      </c>
      <c r="D118" s="311"/>
      <c r="E118" s="34"/>
      <c r="F118" s="133" t="s">
        <v>189</v>
      </c>
    </row>
    <row r="119" spans="1:6" ht="38.25" customHeight="1" thickBot="1" x14ac:dyDescent="0.25">
      <c r="A119" s="50" t="s">
        <v>90</v>
      </c>
      <c r="B119" s="30" t="s">
        <v>129</v>
      </c>
      <c r="C119" s="298" t="s">
        <v>525</v>
      </c>
      <c r="D119" s="299"/>
      <c r="E119" s="35"/>
      <c r="F119" s="133" t="s">
        <v>365</v>
      </c>
    </row>
    <row r="120" spans="1:6" ht="39" thickBot="1" x14ac:dyDescent="0.25">
      <c r="A120" s="50" t="s">
        <v>40</v>
      </c>
      <c r="B120" s="30" t="s">
        <v>137</v>
      </c>
      <c r="C120" s="310" t="s">
        <v>100</v>
      </c>
      <c r="D120" s="311"/>
      <c r="E120" s="34"/>
      <c r="F120" s="135" t="s">
        <v>548</v>
      </c>
    </row>
    <row r="121" spans="1:6" ht="48" customHeight="1" thickBot="1" x14ac:dyDescent="0.25">
      <c r="A121" s="284" t="s">
        <v>14</v>
      </c>
      <c r="B121" s="286" t="s">
        <v>138</v>
      </c>
      <c r="C121" s="310" t="s">
        <v>139</v>
      </c>
      <c r="D121" s="311"/>
      <c r="E121" s="34"/>
      <c r="F121" s="133">
        <v>1</v>
      </c>
    </row>
    <row r="122" spans="1:6" ht="55.5" customHeight="1" thickBot="1" x14ac:dyDescent="0.25">
      <c r="A122" s="285"/>
      <c r="B122" s="287"/>
      <c r="C122" s="310" t="s">
        <v>364</v>
      </c>
      <c r="D122" s="311"/>
      <c r="E122" s="34"/>
      <c r="F122" s="133" t="s">
        <v>365</v>
      </c>
    </row>
    <row r="123" spans="1:6" ht="66.95" customHeight="1" thickBot="1" x14ac:dyDescent="0.25">
      <c r="A123" s="50" t="s">
        <v>91</v>
      </c>
      <c r="B123" s="30" t="s">
        <v>144</v>
      </c>
      <c r="C123" s="310" t="s">
        <v>100</v>
      </c>
      <c r="D123" s="311"/>
      <c r="E123" s="34"/>
      <c r="F123" s="133" t="s">
        <v>559</v>
      </c>
    </row>
    <row r="124" spans="1:6" ht="66" customHeight="1" thickBot="1" x14ac:dyDescent="0.25">
      <c r="A124" s="50" t="s">
        <v>92</v>
      </c>
      <c r="B124" s="30" t="s">
        <v>145</v>
      </c>
      <c r="C124" s="298"/>
      <c r="D124" s="299"/>
      <c r="E124" s="35"/>
      <c r="F124" s="133"/>
    </row>
  </sheetData>
  <sheetProtection algorithmName="SHA-512" hashValue="LdizERmaQzFUn+YAcPCK/DHTGqdg96XRjPwG3nGZ0DQV/hMYQRTLbHtiFba0M9SGPr6KU6Ruz1fX/iqbG442Fw==" saltValue="8lrLkWWd4isitYek2o3Haw==" spinCount="100000" sheet="1" objects="1" scenarios="1"/>
  <dataConsolidate/>
  <mergeCells count="137">
    <mergeCell ref="B10:D10"/>
    <mergeCell ref="B11:D11"/>
    <mergeCell ref="B12:D12"/>
    <mergeCell ref="B13:D13"/>
    <mergeCell ref="B14:D14"/>
    <mergeCell ref="B15:D15"/>
    <mergeCell ref="A3:D3"/>
    <mergeCell ref="A4:D4"/>
    <mergeCell ref="A6:D6"/>
    <mergeCell ref="B8:D8"/>
    <mergeCell ref="B9:D9"/>
    <mergeCell ref="A25:D25"/>
    <mergeCell ref="C26:D26"/>
    <mergeCell ref="C27:D27"/>
    <mergeCell ref="A28:A29"/>
    <mergeCell ref="B28:B29"/>
    <mergeCell ref="C28:D28"/>
    <mergeCell ref="C29:D29"/>
    <mergeCell ref="B16:D16"/>
    <mergeCell ref="B17:D17"/>
    <mergeCell ref="A19:D19"/>
    <mergeCell ref="B21:D21"/>
    <mergeCell ref="B22:D22"/>
    <mergeCell ref="B23:D23"/>
    <mergeCell ref="A36:A37"/>
    <mergeCell ref="B36:B37"/>
    <mergeCell ref="C36:D36"/>
    <mergeCell ref="C37:D37"/>
    <mergeCell ref="A38:A39"/>
    <mergeCell ref="B38:B39"/>
    <mergeCell ref="C38:D38"/>
    <mergeCell ref="C39:D39"/>
    <mergeCell ref="C30:D30"/>
    <mergeCell ref="A31:A35"/>
    <mergeCell ref="B31:B35"/>
    <mergeCell ref="C31:D31"/>
    <mergeCell ref="C32:D32"/>
    <mergeCell ref="C33:D33"/>
    <mergeCell ref="C34:D34"/>
    <mergeCell ref="C35:D35"/>
    <mergeCell ref="C40:D40"/>
    <mergeCell ref="A41:A48"/>
    <mergeCell ref="B41:B48"/>
    <mergeCell ref="C41:D41"/>
    <mergeCell ref="C42:D42"/>
    <mergeCell ref="C43:D43"/>
    <mergeCell ref="C44:D44"/>
    <mergeCell ref="C45:D45"/>
    <mergeCell ref="C46:D46"/>
    <mergeCell ref="C47:D47"/>
    <mergeCell ref="C52:D52"/>
    <mergeCell ref="A53:A55"/>
    <mergeCell ref="B53:B55"/>
    <mergeCell ref="C53:D53"/>
    <mergeCell ref="C54:D54"/>
    <mergeCell ref="C55:D55"/>
    <mergeCell ref="C48:D48"/>
    <mergeCell ref="A49:A51"/>
    <mergeCell ref="B49:B51"/>
    <mergeCell ref="C49:D49"/>
    <mergeCell ref="C50:D50"/>
    <mergeCell ref="C51:D51"/>
    <mergeCell ref="C62:D62"/>
    <mergeCell ref="C63:D63"/>
    <mergeCell ref="C64:D64"/>
    <mergeCell ref="C65:D65"/>
    <mergeCell ref="C66:D66"/>
    <mergeCell ref="C67:D67"/>
    <mergeCell ref="C56:D56"/>
    <mergeCell ref="C57:D57"/>
    <mergeCell ref="C58:D58"/>
    <mergeCell ref="C59:D59"/>
    <mergeCell ref="C60:D60"/>
    <mergeCell ref="C61:D61"/>
    <mergeCell ref="A75:D75"/>
    <mergeCell ref="A76:D76"/>
    <mergeCell ref="A77:D77"/>
    <mergeCell ref="A78:D78"/>
    <mergeCell ref="A79:D79"/>
    <mergeCell ref="A80:D80"/>
    <mergeCell ref="C68:D68"/>
    <mergeCell ref="C69:D69"/>
    <mergeCell ref="C70:D70"/>
    <mergeCell ref="A72:D72"/>
    <mergeCell ref="A73:D73"/>
    <mergeCell ref="A74:D74"/>
    <mergeCell ref="A87:D87"/>
    <mergeCell ref="A88:D88"/>
    <mergeCell ref="A89:D89"/>
    <mergeCell ref="A90:D90"/>
    <mergeCell ref="A91:D91"/>
    <mergeCell ref="A93:D93"/>
    <mergeCell ref="A81:D81"/>
    <mergeCell ref="A82:D82"/>
    <mergeCell ref="A83:D83"/>
    <mergeCell ref="A84:D84"/>
    <mergeCell ref="A85:D85"/>
    <mergeCell ref="A86:D86"/>
    <mergeCell ref="A100:A103"/>
    <mergeCell ref="B100:B103"/>
    <mergeCell ref="C100:D100"/>
    <mergeCell ref="C101:D101"/>
    <mergeCell ref="C102:D102"/>
    <mergeCell ref="C103:D103"/>
    <mergeCell ref="C94:D94"/>
    <mergeCell ref="C95:D95"/>
    <mergeCell ref="C96:D96"/>
    <mergeCell ref="C97:D97"/>
    <mergeCell ref="C98:D98"/>
    <mergeCell ref="C99:D99"/>
    <mergeCell ref="C112:D112"/>
    <mergeCell ref="C113:D113"/>
    <mergeCell ref="A114:A115"/>
    <mergeCell ref="B114:B115"/>
    <mergeCell ref="C114:D114"/>
    <mergeCell ref="C115:D115"/>
    <mergeCell ref="A104:A111"/>
    <mergeCell ref="B104:B111"/>
    <mergeCell ref="C104:D104"/>
    <mergeCell ref="C105:D105"/>
    <mergeCell ref="C106:D106"/>
    <mergeCell ref="C107:D107"/>
    <mergeCell ref="C108:D108"/>
    <mergeCell ref="C109:D109"/>
    <mergeCell ref="C110:D110"/>
    <mergeCell ref="C111:D111"/>
    <mergeCell ref="C123:D123"/>
    <mergeCell ref="C124:D124"/>
    <mergeCell ref="C116:D116"/>
    <mergeCell ref="C117:D117"/>
    <mergeCell ref="C118:D118"/>
    <mergeCell ref="C119:D119"/>
    <mergeCell ref="C120:D120"/>
    <mergeCell ref="A121:A122"/>
    <mergeCell ref="B121:B122"/>
    <mergeCell ref="C121:D121"/>
    <mergeCell ref="C122:D122"/>
  </mergeCells>
  <conditionalFormatting sqref="C58">
    <cfRule type="expression" dxfId="157" priority="54">
      <formula>#REF!="NO"</formula>
    </cfRule>
  </conditionalFormatting>
  <conditionalFormatting sqref="C52:D55">
    <cfRule type="expression" dxfId="156" priority="43">
      <formula>$F$2="NO"</formula>
    </cfRule>
  </conditionalFormatting>
  <conditionalFormatting sqref="C27:E51">
    <cfRule type="expression" dxfId="155" priority="38">
      <formula>#REF!="NO"</formula>
    </cfRule>
  </conditionalFormatting>
  <conditionalFormatting sqref="C117:E121 C122 E122">
    <cfRule type="expression" dxfId="154" priority="49">
      <formula>#REF!="NO"</formula>
    </cfRule>
  </conditionalFormatting>
  <conditionalFormatting sqref="C95:F116">
    <cfRule type="expression" dxfId="153" priority="29">
      <formula>#REF!="NO"</formula>
    </cfRule>
  </conditionalFormatting>
  <conditionalFormatting sqref="E52:E55 C56:E70 F117:F124 C123:E124">
    <cfRule type="expression" dxfId="152" priority="55">
      <formula>#REF!="NO"</formula>
    </cfRule>
  </conditionalFormatting>
  <conditionalFormatting sqref="E74:F91">
    <cfRule type="expression" dxfId="151" priority="32">
      <formula>#REF!="NO"</formula>
    </cfRule>
  </conditionalFormatting>
  <conditionalFormatting sqref="F8:F17">
    <cfRule type="expression" dxfId="150" priority="34">
      <formula>#REF!="NO"</formula>
    </cfRule>
  </conditionalFormatting>
  <conditionalFormatting sqref="F21:F23">
    <cfRule type="expression" dxfId="149" priority="50">
      <formula>#REF!="NO"</formula>
    </cfRule>
  </conditionalFormatting>
  <conditionalFormatting sqref="F52">
    <cfRule type="expression" dxfId="148" priority="47">
      <formula>#REF!="NO"</formula>
    </cfRule>
  </conditionalFormatting>
  <conditionalFormatting sqref="F58:F70">
    <cfRule type="expression" dxfId="147" priority="48">
      <formula>#REF!="NO"</formula>
    </cfRule>
  </conditionalFormatting>
  <conditionalFormatting sqref="F27:G70">
    <cfRule type="expression" dxfId="146" priority="30">
      <formula>#REF!="NO"</formula>
    </cfRule>
  </conditionalFormatting>
  <dataValidations count="3">
    <dataValidation type="decimal" allowBlank="1" showInputMessage="1" showErrorMessage="1" error="The Additional Options NYS Discount entered must be greater than 0%, or less than or equal to 100%." sqref="F23" xr:uid="{04360D5B-BF64-4D27-B326-269A725A2540}">
      <formula1>0.01</formula1>
      <formula2>100</formula2>
    </dataValidation>
    <dataValidation type="decimal" allowBlank="1" showInputMessage="1" showErrorMessage="1" error="Invalid Entry - Bidder must enter a value that is greater than $0" sqref="F21" xr:uid="{BF74F55C-2C4B-4499-8A5D-33D0B3709DA4}">
      <formula1>0</formula1>
      <formula2>9E+21</formula2>
    </dataValidation>
    <dataValidation type="decimal" operator="greaterThanOrEqual" allowBlank="1" showInputMessage="1" showErrorMessage="1" error="The Pickup Allowance cannot be a negative number." sqref="F16" xr:uid="{300E87C9-3D1D-4153-B994-BB4DA5282D40}">
      <formula1>0</formula1>
    </dataValidation>
  </dataValidations>
  <pageMargins left="0.25" right="0.25" top="0.5" bottom="0.25" header="0.3" footer="0.3"/>
  <pageSetup scale="95" fitToHeight="0" orientation="landscape" r:id="rId1"/>
  <rowBreaks count="2" manualBreakCount="2">
    <brk id="70" max="5" man="1"/>
    <brk id="113" max="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5599E-B019-4681-8365-804B3E1A1950}">
  <sheetPr>
    <tabColor rgb="FFCC66FF"/>
    <pageSetUpPr autoPageBreaks="0" fitToPage="1"/>
  </sheetPr>
  <dimension ref="A1:I130"/>
  <sheetViews>
    <sheetView showGridLines="0" zoomScaleNormal="100" zoomScaleSheetLayoutView="100" workbookViewId="0">
      <selection activeCell="A3" sqref="A3:D3"/>
    </sheetView>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6" width="20.7109375" style="106" customWidth="1"/>
    <col min="7" max="7" width="2.7109375" style="107" customWidth="1"/>
    <col min="8" max="8" width="20.7109375" style="106" customWidth="1"/>
    <col min="9" max="9" width="2.7109375" style="2" customWidth="1"/>
    <col min="10" max="16384" width="9.140625" style="2"/>
  </cols>
  <sheetData>
    <row r="1" spans="1:9" customFormat="1" ht="15" x14ac:dyDescent="0.25">
      <c r="A1" s="235" t="str">
        <f>'A (Item 2-G)'!$A$1</f>
        <v>GROUP 40524-23254, SCHOOL BUSES (Statewide)                                                             Attachment 1 - Specifications and Pricing (Revised October 15, 2026)</v>
      </c>
      <c r="B1" s="2"/>
      <c r="C1" s="2"/>
      <c r="D1" s="2"/>
      <c r="E1" s="2"/>
      <c r="F1" s="107"/>
      <c r="G1" s="116"/>
      <c r="H1" s="116"/>
    </row>
    <row r="2" spans="1:9" customFormat="1" ht="15.75" thickBot="1" x14ac:dyDescent="0.3">
      <c r="A2" s="144" t="s">
        <v>373</v>
      </c>
      <c r="B2" s="26"/>
      <c r="C2" s="26"/>
      <c r="D2" s="26"/>
      <c r="F2" s="116"/>
      <c r="G2" s="116"/>
      <c r="H2" s="116"/>
    </row>
    <row r="3" spans="1:9" ht="24" thickBot="1" x14ac:dyDescent="0.25">
      <c r="A3" s="270" t="s">
        <v>502</v>
      </c>
      <c r="B3" s="271"/>
      <c r="C3" s="271"/>
      <c r="D3" s="272"/>
      <c r="E3" s="9"/>
      <c r="F3" s="145"/>
      <c r="G3" s="145"/>
      <c r="H3" s="145"/>
      <c r="I3" s="9"/>
    </row>
    <row r="4" spans="1:9" ht="51" customHeight="1" thickBot="1" x14ac:dyDescent="0.25">
      <c r="A4" s="273" t="s">
        <v>501</v>
      </c>
      <c r="B4" s="274"/>
      <c r="C4" s="274"/>
      <c r="D4" s="275"/>
      <c r="E4" s="9"/>
      <c r="F4" s="145"/>
      <c r="G4" s="145"/>
      <c r="H4" s="145"/>
      <c r="I4" s="9"/>
    </row>
    <row r="5" spans="1:9" s="4" customFormat="1" ht="11.25" customHeight="1" thickBot="1" x14ac:dyDescent="0.3">
      <c r="A5" s="57"/>
      <c r="B5" s="57"/>
      <c r="C5" s="57"/>
      <c r="D5" s="57"/>
      <c r="E5" s="57"/>
      <c r="F5" s="123"/>
      <c r="G5" s="114"/>
      <c r="H5" s="114"/>
    </row>
    <row r="6" spans="1:9" s="8" customFormat="1" ht="32.25" thickBot="1" x14ac:dyDescent="0.25">
      <c r="A6" s="276" t="s">
        <v>151</v>
      </c>
      <c r="B6" s="277"/>
      <c r="C6" s="277"/>
      <c r="D6" s="278"/>
      <c r="E6" s="36"/>
      <c r="F6" s="95" t="s">
        <v>396</v>
      </c>
      <c r="G6" s="96"/>
      <c r="H6" s="95" t="s">
        <v>450</v>
      </c>
      <c r="I6" s="36"/>
    </row>
    <row r="7" spans="1:9" s="4" customFormat="1" ht="15" customHeight="1" thickBot="1" x14ac:dyDescent="0.3">
      <c r="A7" s="41" t="s">
        <v>6</v>
      </c>
      <c r="B7" s="27" t="s">
        <v>165</v>
      </c>
      <c r="C7" s="32"/>
      <c r="D7" s="40"/>
      <c r="E7" s="37"/>
      <c r="F7" s="97" t="s">
        <v>17</v>
      </c>
      <c r="G7" s="98"/>
      <c r="H7" s="97" t="s">
        <v>17</v>
      </c>
      <c r="I7" s="37"/>
    </row>
    <row r="8" spans="1:9" ht="52.5" thickTop="1" thickBot="1" x14ac:dyDescent="0.25">
      <c r="A8" s="42" t="s">
        <v>9</v>
      </c>
      <c r="B8" s="267" t="s">
        <v>152</v>
      </c>
      <c r="C8" s="268"/>
      <c r="D8" s="269"/>
      <c r="E8" s="13"/>
      <c r="F8" s="207" t="s">
        <v>459</v>
      </c>
      <c r="G8" s="99"/>
      <c r="H8" s="207" t="s">
        <v>472</v>
      </c>
      <c r="I8" s="13"/>
    </row>
    <row r="9" spans="1:9" s="8" customFormat="1" ht="39.75" customHeight="1" thickTop="1" thickBot="1" x14ac:dyDescent="0.25">
      <c r="A9" s="42" t="s">
        <v>136</v>
      </c>
      <c r="B9" s="267" t="s">
        <v>196</v>
      </c>
      <c r="C9" s="268"/>
      <c r="D9" s="269"/>
      <c r="E9" s="13"/>
      <c r="F9" s="207" t="s">
        <v>500</v>
      </c>
      <c r="G9" s="99"/>
      <c r="H9" s="207" t="s">
        <v>499</v>
      </c>
      <c r="I9" s="13"/>
    </row>
    <row r="10" spans="1:9" ht="12.75" customHeight="1" thickTop="1" x14ac:dyDescent="0.2">
      <c r="A10" s="43" t="s">
        <v>0</v>
      </c>
      <c r="B10" s="258" t="s">
        <v>154</v>
      </c>
      <c r="C10" s="259"/>
      <c r="D10" s="260"/>
      <c r="E10" s="13"/>
      <c r="F10" s="127" t="s">
        <v>399</v>
      </c>
      <c r="G10" s="99"/>
      <c r="H10" s="127" t="s">
        <v>180</v>
      </c>
      <c r="I10" s="13"/>
    </row>
    <row r="11" spans="1:9" x14ac:dyDescent="0.2">
      <c r="A11" s="43" t="s">
        <v>1</v>
      </c>
      <c r="B11" s="258" t="s">
        <v>153</v>
      </c>
      <c r="C11" s="259"/>
      <c r="D11" s="260"/>
      <c r="E11" s="13"/>
      <c r="F11" s="127">
        <v>4500</v>
      </c>
      <c r="G11" s="99"/>
      <c r="H11" s="127" t="s">
        <v>505</v>
      </c>
      <c r="I11" s="13"/>
    </row>
    <row r="12" spans="1:9" ht="15.6" customHeight="1" thickBot="1" x14ac:dyDescent="0.25">
      <c r="A12" s="44" t="s">
        <v>2</v>
      </c>
      <c r="B12" s="261" t="s">
        <v>155</v>
      </c>
      <c r="C12" s="262"/>
      <c r="D12" s="263"/>
      <c r="E12" s="13"/>
      <c r="F12" s="128" t="s">
        <v>498</v>
      </c>
      <c r="G12" s="99"/>
      <c r="H12" s="128" t="s">
        <v>506</v>
      </c>
      <c r="I12" s="13"/>
    </row>
    <row r="13" spans="1:9" ht="13.5" thickTop="1" x14ac:dyDescent="0.2">
      <c r="A13" s="43" t="s">
        <v>3</v>
      </c>
      <c r="B13" s="258" t="s">
        <v>157</v>
      </c>
      <c r="C13" s="259"/>
      <c r="D13" s="260"/>
      <c r="E13" s="13"/>
      <c r="F13" s="127" t="s">
        <v>400</v>
      </c>
      <c r="G13" s="99"/>
      <c r="H13" s="127" t="s">
        <v>400</v>
      </c>
      <c r="I13" s="13"/>
    </row>
    <row r="14" spans="1:9" x14ac:dyDescent="0.2">
      <c r="A14" s="43" t="s">
        <v>4</v>
      </c>
      <c r="B14" s="258" t="s">
        <v>156</v>
      </c>
      <c r="C14" s="259"/>
      <c r="D14" s="260"/>
      <c r="E14" s="13"/>
      <c r="F14" s="127" t="s">
        <v>456</v>
      </c>
      <c r="G14" s="99"/>
      <c r="H14" s="127" t="s">
        <v>456</v>
      </c>
      <c r="I14" s="13"/>
    </row>
    <row r="15" spans="1:9" ht="15.75" customHeight="1" thickBot="1" x14ac:dyDescent="0.25">
      <c r="A15" s="45" t="s">
        <v>5</v>
      </c>
      <c r="B15" s="261" t="s">
        <v>158</v>
      </c>
      <c r="C15" s="262"/>
      <c r="D15" s="263"/>
      <c r="E15" s="13"/>
      <c r="F15" s="129" t="s">
        <v>497</v>
      </c>
      <c r="G15" s="99"/>
      <c r="H15" s="129" t="s">
        <v>494</v>
      </c>
      <c r="I15" s="13"/>
    </row>
    <row r="16" spans="1:9" ht="29.25" customHeight="1" thickTop="1" x14ac:dyDescent="0.2">
      <c r="A16" s="43" t="s">
        <v>101</v>
      </c>
      <c r="B16" s="264" t="s">
        <v>160</v>
      </c>
      <c r="C16" s="265"/>
      <c r="D16" s="266"/>
      <c r="E16" s="13"/>
      <c r="F16" s="130">
        <v>0</v>
      </c>
      <c r="G16" s="99"/>
      <c r="H16" s="130">
        <v>0</v>
      </c>
      <c r="I16" s="13"/>
    </row>
    <row r="17" spans="1:9" ht="30.75" customHeight="1" thickBot="1" x14ac:dyDescent="0.25">
      <c r="A17" s="45" t="s">
        <v>43</v>
      </c>
      <c r="B17" s="261" t="s">
        <v>159</v>
      </c>
      <c r="C17" s="262"/>
      <c r="D17" s="263"/>
      <c r="E17" s="13"/>
      <c r="F17" s="129" t="s">
        <v>402</v>
      </c>
      <c r="G17" s="99"/>
      <c r="H17" s="129" t="s">
        <v>507</v>
      </c>
      <c r="I17" s="13"/>
    </row>
    <row r="18" spans="1:9" s="10" customFormat="1" ht="14.25" thickTop="1" thickBot="1" x14ac:dyDescent="0.25">
      <c r="C18" s="11"/>
      <c r="D18" s="11"/>
      <c r="E18" s="11"/>
      <c r="F18" s="100"/>
      <c r="G18" s="100"/>
      <c r="H18" s="100"/>
      <c r="I18" s="11"/>
    </row>
    <row r="19" spans="1:9" s="12" customFormat="1" ht="32.25" thickBot="1" x14ac:dyDescent="0.25">
      <c r="A19" s="276" t="s">
        <v>150</v>
      </c>
      <c r="B19" s="277"/>
      <c r="C19" s="277"/>
      <c r="D19" s="278"/>
      <c r="E19" s="36"/>
      <c r="F19" s="95" t="s">
        <v>396</v>
      </c>
      <c r="G19" s="96"/>
      <c r="H19" s="95" t="s">
        <v>450</v>
      </c>
      <c r="I19" s="36"/>
    </row>
    <row r="20" spans="1:9" s="4" customFormat="1" ht="15" customHeight="1" thickBot="1" x14ac:dyDescent="0.3">
      <c r="A20" s="55" t="s">
        <v>6</v>
      </c>
      <c r="B20" s="31" t="s">
        <v>165</v>
      </c>
      <c r="C20" s="33"/>
      <c r="D20" s="48"/>
      <c r="E20" s="37"/>
      <c r="F20" s="97" t="s">
        <v>17</v>
      </c>
      <c r="G20" s="98"/>
      <c r="H20" s="97" t="s">
        <v>17</v>
      </c>
      <c r="I20" s="37"/>
    </row>
    <row r="21" spans="1:9" ht="56.25" customHeight="1" x14ac:dyDescent="0.2">
      <c r="A21" s="46" t="s">
        <v>42</v>
      </c>
      <c r="B21" s="279" t="s">
        <v>161</v>
      </c>
      <c r="C21" s="280"/>
      <c r="D21" s="281"/>
      <c r="E21" s="13"/>
      <c r="F21" s="208">
        <f>71783*('PPI Adj'!D6)</f>
        <v>83770.760999999999</v>
      </c>
      <c r="G21" s="99"/>
      <c r="H21" s="208">
        <f>77312*('PPI Adj'!D6)</f>
        <v>90223.104000000007</v>
      </c>
      <c r="I21" s="13"/>
    </row>
    <row r="22" spans="1:9" ht="42.75" customHeight="1" x14ac:dyDescent="0.2">
      <c r="A22" s="43" t="s">
        <v>20</v>
      </c>
      <c r="B22" s="258" t="s">
        <v>162</v>
      </c>
      <c r="C22" s="259"/>
      <c r="D22" s="260"/>
      <c r="E22" s="13"/>
      <c r="F22" s="231">
        <f>404.6*('PPI Adj'!D6)</f>
        <v>472.16820000000007</v>
      </c>
      <c r="G22" s="99"/>
      <c r="H22" s="231" t="s">
        <v>182</v>
      </c>
      <c r="I22" s="13"/>
    </row>
    <row r="23" spans="1:9" ht="33" customHeight="1" thickBot="1" x14ac:dyDescent="0.25">
      <c r="A23" s="47" t="s">
        <v>41</v>
      </c>
      <c r="B23" s="300" t="s">
        <v>163</v>
      </c>
      <c r="C23" s="301"/>
      <c r="D23" s="302"/>
      <c r="E23" s="1"/>
      <c r="F23" s="214">
        <v>5</v>
      </c>
      <c r="G23" s="101"/>
      <c r="H23" s="214">
        <v>5</v>
      </c>
      <c r="I23" s="1"/>
    </row>
    <row r="24" spans="1:9" ht="13.5" thickBot="1" x14ac:dyDescent="0.25">
      <c r="A24" s="58"/>
      <c r="B24" s="1"/>
      <c r="C24" s="1"/>
      <c r="D24" s="1"/>
      <c r="E24" s="1"/>
      <c r="F24" s="102"/>
      <c r="G24" s="101"/>
      <c r="H24" s="102"/>
      <c r="I24" s="1"/>
    </row>
    <row r="25" spans="1:9" s="8" customFormat="1" ht="32.25" thickBot="1" x14ac:dyDescent="0.25">
      <c r="A25" s="303" t="s">
        <v>164</v>
      </c>
      <c r="B25" s="304"/>
      <c r="C25" s="304"/>
      <c r="D25" s="305"/>
      <c r="E25" s="38"/>
      <c r="F25" s="95" t="s">
        <v>396</v>
      </c>
      <c r="G25" s="103"/>
      <c r="H25" s="95" t="s">
        <v>450</v>
      </c>
      <c r="I25" s="38"/>
    </row>
    <row r="26" spans="1:9" s="3" customFormat="1" ht="15" customHeight="1" thickBot="1" x14ac:dyDescent="0.3">
      <c r="A26" s="55" t="s">
        <v>6</v>
      </c>
      <c r="B26" s="56" t="s">
        <v>7</v>
      </c>
      <c r="C26" s="306" t="s">
        <v>165</v>
      </c>
      <c r="D26" s="307"/>
      <c r="E26" s="39"/>
      <c r="F26" s="97" t="s">
        <v>17</v>
      </c>
      <c r="G26" s="104"/>
      <c r="H26" s="97" t="s">
        <v>17</v>
      </c>
      <c r="I26" s="39"/>
    </row>
    <row r="27" spans="1:9" s="13" customFormat="1" ht="43.5" customHeight="1" thickBot="1" x14ac:dyDescent="0.3">
      <c r="A27" s="49" t="s">
        <v>8</v>
      </c>
      <c r="B27" s="29" t="s">
        <v>131</v>
      </c>
      <c r="C27" s="282" t="s">
        <v>118</v>
      </c>
      <c r="D27" s="283"/>
      <c r="E27" s="34"/>
      <c r="F27" s="133">
        <v>14200</v>
      </c>
      <c r="G27" s="105"/>
      <c r="H27" s="133">
        <v>14500</v>
      </c>
      <c r="I27" s="34"/>
    </row>
    <row r="28" spans="1:9" s="13" customFormat="1" x14ac:dyDescent="0.25">
      <c r="A28" s="284" t="s">
        <v>21</v>
      </c>
      <c r="B28" s="286" t="s">
        <v>496</v>
      </c>
      <c r="C28" s="288" t="s">
        <v>67</v>
      </c>
      <c r="D28" s="289"/>
      <c r="E28" s="34"/>
      <c r="F28" s="134">
        <v>5</v>
      </c>
      <c r="G28" s="105"/>
      <c r="H28" s="134">
        <v>5</v>
      </c>
      <c r="I28" s="34"/>
    </row>
    <row r="29" spans="1:9" s="13" customFormat="1" ht="13.5" thickBot="1" x14ac:dyDescent="0.3">
      <c r="A29" s="285"/>
      <c r="B29" s="287"/>
      <c r="C29" s="282" t="s">
        <v>68</v>
      </c>
      <c r="D29" s="283"/>
      <c r="E29" s="34"/>
      <c r="F29" s="135" t="s">
        <v>504</v>
      </c>
      <c r="G29" s="105"/>
      <c r="H29" s="135" t="s">
        <v>504</v>
      </c>
      <c r="I29" s="34"/>
    </row>
    <row r="30" spans="1:9" s="13" customFormat="1" ht="13.5" thickBot="1" x14ac:dyDescent="0.3">
      <c r="A30" s="50" t="s">
        <v>123</v>
      </c>
      <c r="B30" s="30" t="s">
        <v>108</v>
      </c>
      <c r="C30" s="298"/>
      <c r="D30" s="299"/>
      <c r="E30" s="35"/>
      <c r="F30" s="133"/>
      <c r="G30" s="232"/>
      <c r="H30" s="133"/>
      <c r="I30" s="35"/>
    </row>
    <row r="31" spans="1:9" s="13" customFormat="1" x14ac:dyDescent="0.25">
      <c r="A31" s="284" t="s">
        <v>59</v>
      </c>
      <c r="B31" s="286"/>
      <c r="C31" s="288" t="s">
        <v>58</v>
      </c>
      <c r="D31" s="289"/>
      <c r="E31" s="34"/>
      <c r="F31" s="134">
        <v>159</v>
      </c>
      <c r="G31" s="105"/>
      <c r="H31" s="134">
        <v>158</v>
      </c>
      <c r="I31" s="34"/>
    </row>
    <row r="32" spans="1:9" s="13" customFormat="1" x14ac:dyDescent="0.25">
      <c r="A32" s="292"/>
      <c r="B32" s="293"/>
      <c r="C32" s="294" t="s">
        <v>57</v>
      </c>
      <c r="D32" s="295"/>
      <c r="E32" s="34"/>
      <c r="F32" s="127">
        <v>269</v>
      </c>
      <c r="G32" s="105"/>
      <c r="H32" s="127">
        <v>281</v>
      </c>
      <c r="I32" s="34"/>
    </row>
    <row r="33" spans="1:9" s="13" customFormat="1" x14ac:dyDescent="0.25">
      <c r="A33" s="292"/>
      <c r="B33" s="293"/>
      <c r="C33" s="294" t="s">
        <v>69</v>
      </c>
      <c r="D33" s="295"/>
      <c r="E33" s="34"/>
      <c r="F33" s="127">
        <v>90</v>
      </c>
      <c r="G33" s="105"/>
      <c r="H33" s="127">
        <v>90</v>
      </c>
      <c r="I33" s="34"/>
    </row>
    <row r="34" spans="1:9" s="13" customFormat="1" x14ac:dyDescent="0.25">
      <c r="A34" s="292"/>
      <c r="B34" s="293"/>
      <c r="C34" s="296" t="s">
        <v>70</v>
      </c>
      <c r="D34" s="297"/>
      <c r="E34" s="34"/>
      <c r="F34" s="127">
        <v>75</v>
      </c>
      <c r="G34" s="105"/>
      <c r="H34" s="127">
        <v>75</v>
      </c>
      <c r="I34" s="34"/>
    </row>
    <row r="35" spans="1:9" s="13" customFormat="1" ht="15.6" customHeight="1" thickBot="1" x14ac:dyDescent="0.3">
      <c r="A35" s="285"/>
      <c r="B35" s="287"/>
      <c r="C35" s="282" t="s">
        <v>111</v>
      </c>
      <c r="D35" s="283"/>
      <c r="E35" s="34"/>
      <c r="F35" s="135">
        <v>199</v>
      </c>
      <c r="G35" s="105"/>
      <c r="H35" s="135">
        <v>193</v>
      </c>
      <c r="I35" s="34"/>
    </row>
    <row r="36" spans="1:9" s="13" customFormat="1" x14ac:dyDescent="0.25">
      <c r="A36" s="284" t="s">
        <v>11</v>
      </c>
      <c r="B36" s="286"/>
      <c r="C36" s="288" t="s">
        <v>24</v>
      </c>
      <c r="D36" s="289"/>
      <c r="E36" s="34"/>
      <c r="F36" s="134">
        <v>4600</v>
      </c>
      <c r="G36" s="105"/>
      <c r="H36" s="134">
        <v>5000</v>
      </c>
      <c r="I36" s="34"/>
    </row>
    <row r="37" spans="1:9" s="13" customFormat="1" ht="13.5" thickBot="1" x14ac:dyDescent="0.3">
      <c r="A37" s="285"/>
      <c r="B37" s="287"/>
      <c r="C37" s="282" t="s">
        <v>22</v>
      </c>
      <c r="D37" s="283"/>
      <c r="E37" s="34"/>
      <c r="F37" s="135">
        <v>4600</v>
      </c>
      <c r="G37" s="105"/>
      <c r="H37" s="135">
        <v>5000</v>
      </c>
      <c r="I37" s="34"/>
    </row>
    <row r="38" spans="1:9" s="13" customFormat="1" ht="15" customHeight="1" x14ac:dyDescent="0.25">
      <c r="A38" s="284" t="s">
        <v>16</v>
      </c>
      <c r="B38" s="286"/>
      <c r="C38" s="288" t="s">
        <v>24</v>
      </c>
      <c r="D38" s="289"/>
      <c r="E38" s="34"/>
      <c r="F38" s="134">
        <v>9600</v>
      </c>
      <c r="G38" s="105"/>
      <c r="H38" s="134">
        <v>9600</v>
      </c>
      <c r="I38" s="34"/>
    </row>
    <row r="39" spans="1:9" s="13" customFormat="1" ht="15.95" customHeight="1" thickBot="1" x14ac:dyDescent="0.3">
      <c r="A39" s="285"/>
      <c r="B39" s="287"/>
      <c r="C39" s="290" t="s">
        <v>23</v>
      </c>
      <c r="D39" s="291"/>
      <c r="E39" s="34"/>
      <c r="F39" s="135">
        <v>9600</v>
      </c>
      <c r="G39" s="105"/>
      <c r="H39" s="135">
        <v>9600</v>
      </c>
      <c r="I39" s="34"/>
    </row>
    <row r="40" spans="1:9" s="13" customFormat="1" ht="15.95" customHeight="1" thickBot="1" x14ac:dyDescent="0.3">
      <c r="A40" s="50" t="s">
        <v>52</v>
      </c>
      <c r="B40" s="30" t="s">
        <v>53</v>
      </c>
      <c r="C40" s="298"/>
      <c r="D40" s="299"/>
      <c r="E40" s="35"/>
      <c r="F40" s="133"/>
      <c r="G40" s="232"/>
      <c r="H40" s="133"/>
      <c r="I40" s="35"/>
    </row>
    <row r="41" spans="1:9" s="13" customFormat="1" ht="13.5" customHeight="1" thickBot="1" x14ac:dyDescent="0.3">
      <c r="A41" s="308" t="s">
        <v>12</v>
      </c>
      <c r="B41" s="309" t="s">
        <v>142</v>
      </c>
      <c r="C41" s="288" t="s">
        <v>174</v>
      </c>
      <c r="D41" s="289"/>
      <c r="E41" s="34"/>
      <c r="F41" s="134" t="s">
        <v>452</v>
      </c>
      <c r="G41" s="105"/>
      <c r="H41" s="134" t="s">
        <v>474</v>
      </c>
      <c r="I41" s="34"/>
    </row>
    <row r="42" spans="1:9" s="13" customFormat="1" ht="13.5" customHeight="1" thickBot="1" x14ac:dyDescent="0.3">
      <c r="A42" s="308"/>
      <c r="B42" s="309"/>
      <c r="C42" s="294" t="s">
        <v>175</v>
      </c>
      <c r="D42" s="295"/>
      <c r="E42" s="34"/>
      <c r="F42" s="127" t="s">
        <v>461</v>
      </c>
      <c r="G42" s="105"/>
      <c r="H42" s="127" t="s">
        <v>461</v>
      </c>
      <c r="I42" s="34"/>
    </row>
    <row r="43" spans="1:9" s="13" customFormat="1" ht="13.5" customHeight="1" thickBot="1" x14ac:dyDescent="0.3">
      <c r="A43" s="308"/>
      <c r="B43" s="309"/>
      <c r="C43" s="294" t="s">
        <v>176</v>
      </c>
      <c r="D43" s="295"/>
      <c r="E43" s="34"/>
      <c r="F43" s="126" t="s">
        <v>452</v>
      </c>
      <c r="G43" s="105"/>
      <c r="H43" s="126" t="s">
        <v>474</v>
      </c>
      <c r="I43" s="34"/>
    </row>
    <row r="44" spans="1:9" s="13" customFormat="1" ht="13.5" customHeight="1" thickBot="1" x14ac:dyDescent="0.3">
      <c r="A44" s="308"/>
      <c r="B44" s="309"/>
      <c r="C44" s="294" t="s">
        <v>177</v>
      </c>
      <c r="D44" s="295"/>
      <c r="E44" s="34"/>
      <c r="F44" s="127" t="s">
        <v>462</v>
      </c>
      <c r="G44" s="105"/>
      <c r="H44" s="127" t="s">
        <v>462</v>
      </c>
      <c r="I44" s="34"/>
    </row>
    <row r="45" spans="1:9" s="13" customFormat="1" ht="13.5" customHeight="1" thickBot="1" x14ac:dyDescent="0.3">
      <c r="A45" s="308"/>
      <c r="B45" s="309"/>
      <c r="C45" s="294" t="s">
        <v>112</v>
      </c>
      <c r="D45" s="295"/>
      <c r="E45" s="34"/>
      <c r="F45" s="127" t="s">
        <v>463</v>
      </c>
      <c r="G45" s="105"/>
      <c r="H45" s="127" t="s">
        <v>475</v>
      </c>
      <c r="I45" s="34"/>
    </row>
    <row r="46" spans="1:9" s="13" customFormat="1" ht="13.5" thickBot="1" x14ac:dyDescent="0.3">
      <c r="A46" s="308"/>
      <c r="B46" s="309"/>
      <c r="C46" s="294" t="s">
        <v>113</v>
      </c>
      <c r="D46" s="295"/>
      <c r="E46" s="34"/>
      <c r="F46" s="127" t="s">
        <v>184</v>
      </c>
      <c r="G46" s="105"/>
      <c r="H46" s="127" t="s">
        <v>476</v>
      </c>
      <c r="I46" s="34"/>
    </row>
    <row r="47" spans="1:9" s="13" customFormat="1" ht="13.5" customHeight="1" thickBot="1" x14ac:dyDescent="0.3">
      <c r="A47" s="308"/>
      <c r="B47" s="309"/>
      <c r="C47" s="296" t="s">
        <v>114</v>
      </c>
      <c r="D47" s="297"/>
      <c r="E47" s="34"/>
      <c r="F47" s="127" t="s">
        <v>464</v>
      </c>
      <c r="G47" s="105"/>
      <c r="H47" s="127" t="s">
        <v>475</v>
      </c>
      <c r="I47" s="34"/>
    </row>
    <row r="48" spans="1:9" s="13" customFormat="1" ht="13.5" thickBot="1" x14ac:dyDescent="0.3">
      <c r="A48" s="308"/>
      <c r="B48" s="309"/>
      <c r="C48" s="282" t="s">
        <v>115</v>
      </c>
      <c r="D48" s="283"/>
      <c r="E48" s="34"/>
      <c r="F48" s="135" t="s">
        <v>184</v>
      </c>
      <c r="G48" s="105"/>
      <c r="H48" s="135" t="s">
        <v>477</v>
      </c>
      <c r="I48" s="34"/>
    </row>
    <row r="49" spans="1:9" s="13" customFormat="1" x14ac:dyDescent="0.25">
      <c r="A49" s="284" t="s">
        <v>10</v>
      </c>
      <c r="B49" s="286" t="s">
        <v>62</v>
      </c>
      <c r="C49" s="288" t="s">
        <v>116</v>
      </c>
      <c r="D49" s="289"/>
      <c r="E49" s="34"/>
      <c r="F49" s="134" t="s">
        <v>465</v>
      </c>
      <c r="G49" s="105"/>
      <c r="H49" s="134" t="s">
        <v>465</v>
      </c>
      <c r="I49" s="34"/>
    </row>
    <row r="50" spans="1:9" s="13" customFormat="1" x14ac:dyDescent="0.25">
      <c r="A50" s="292"/>
      <c r="B50" s="293"/>
      <c r="C50" s="294" t="s">
        <v>117</v>
      </c>
      <c r="D50" s="295"/>
      <c r="E50" s="34"/>
      <c r="F50" s="127" t="s">
        <v>390</v>
      </c>
      <c r="G50" s="105"/>
      <c r="H50" s="127" t="s">
        <v>390</v>
      </c>
      <c r="I50" s="34"/>
    </row>
    <row r="51" spans="1:9" s="13" customFormat="1" ht="13.5" thickBot="1" x14ac:dyDescent="0.3">
      <c r="A51" s="292"/>
      <c r="B51" s="293"/>
      <c r="C51" s="290" t="s">
        <v>71</v>
      </c>
      <c r="D51" s="291"/>
      <c r="E51" s="34"/>
      <c r="F51" s="136" t="s">
        <v>466</v>
      </c>
      <c r="G51" s="105"/>
      <c r="H51" s="136" t="s">
        <v>478</v>
      </c>
      <c r="I51" s="34"/>
    </row>
    <row r="52" spans="1:9" s="13" customFormat="1" ht="82.5" customHeight="1" thickBot="1" x14ac:dyDescent="0.3">
      <c r="A52" s="51" t="s">
        <v>9</v>
      </c>
      <c r="B52" s="28" t="s">
        <v>140</v>
      </c>
      <c r="C52" s="296"/>
      <c r="D52" s="297"/>
      <c r="E52" s="34"/>
      <c r="F52" s="134"/>
      <c r="G52" s="105"/>
      <c r="H52" s="134"/>
      <c r="I52" s="34"/>
    </row>
    <row r="53" spans="1:9" s="13" customFormat="1" x14ac:dyDescent="0.25">
      <c r="A53" s="284" t="s">
        <v>25</v>
      </c>
      <c r="B53" s="286" t="s">
        <v>93</v>
      </c>
      <c r="C53" s="288" t="s">
        <v>72</v>
      </c>
      <c r="D53" s="289"/>
      <c r="E53" s="34"/>
      <c r="F53" s="134" t="s">
        <v>408</v>
      </c>
      <c r="G53" s="105"/>
      <c r="H53" s="134" t="s">
        <v>479</v>
      </c>
      <c r="I53" s="34"/>
    </row>
    <row r="54" spans="1:9" s="13" customFormat="1" ht="54.95" customHeight="1" thickBot="1" x14ac:dyDescent="0.3">
      <c r="A54" s="285"/>
      <c r="B54" s="287"/>
      <c r="C54" s="282" t="s">
        <v>73</v>
      </c>
      <c r="D54" s="283"/>
      <c r="E54" s="34"/>
      <c r="F54" s="135">
        <v>220</v>
      </c>
      <c r="G54" s="105"/>
      <c r="H54" s="135">
        <v>220</v>
      </c>
      <c r="I54" s="34"/>
    </row>
    <row r="55" spans="1:9" s="13" customFormat="1" x14ac:dyDescent="0.25">
      <c r="A55" s="284" t="s">
        <v>26</v>
      </c>
      <c r="B55" s="286"/>
      <c r="C55" s="288" t="s">
        <v>74</v>
      </c>
      <c r="D55" s="289"/>
      <c r="E55" s="34"/>
      <c r="F55" s="134" t="s">
        <v>409</v>
      </c>
      <c r="G55" s="105"/>
      <c r="H55" s="134">
        <v>634</v>
      </c>
      <c r="I55" s="34"/>
    </row>
    <row r="56" spans="1:9" s="13" customFormat="1" x14ac:dyDescent="0.25">
      <c r="A56" s="292"/>
      <c r="B56" s="293"/>
      <c r="C56" s="294" t="s">
        <v>75</v>
      </c>
      <c r="D56" s="295"/>
      <c r="E56" s="34"/>
      <c r="F56" s="127">
        <v>2</v>
      </c>
      <c r="G56" s="105"/>
      <c r="H56" s="127">
        <v>2</v>
      </c>
      <c r="I56" s="34"/>
    </row>
    <row r="57" spans="1:9" s="13" customFormat="1" ht="13.5" thickBot="1" x14ac:dyDescent="0.3">
      <c r="A57" s="285"/>
      <c r="B57" s="287"/>
      <c r="C57" s="282" t="s">
        <v>76</v>
      </c>
      <c r="D57" s="283"/>
      <c r="E57" s="34"/>
      <c r="F57" s="135">
        <v>770</v>
      </c>
      <c r="G57" s="105"/>
      <c r="H57" s="135">
        <v>760</v>
      </c>
      <c r="I57" s="34"/>
    </row>
    <row r="58" spans="1:9" s="13" customFormat="1" ht="14.45" customHeight="1" thickBot="1" x14ac:dyDescent="0.3">
      <c r="A58" s="50" t="s">
        <v>44</v>
      </c>
      <c r="B58" s="30" t="s">
        <v>45</v>
      </c>
      <c r="C58" s="298"/>
      <c r="D58" s="299"/>
      <c r="E58" s="35"/>
      <c r="F58" s="137"/>
      <c r="G58" s="232"/>
      <c r="H58" s="137"/>
      <c r="I58" s="35"/>
    </row>
    <row r="59" spans="1:9" s="13" customFormat="1" ht="28.5" customHeight="1" thickBot="1" x14ac:dyDescent="0.3">
      <c r="A59" s="50" t="s">
        <v>44</v>
      </c>
      <c r="B59" s="30" t="s">
        <v>63</v>
      </c>
      <c r="C59" s="298"/>
      <c r="D59" s="299"/>
      <c r="E59" s="35"/>
      <c r="F59" s="137"/>
      <c r="G59" s="232"/>
      <c r="H59" s="137"/>
      <c r="I59" s="35"/>
    </row>
    <row r="60" spans="1:9" s="13" customFormat="1" ht="30" customHeight="1" thickBot="1" x14ac:dyDescent="0.3">
      <c r="A60" s="50" t="s">
        <v>44</v>
      </c>
      <c r="B60" s="30" t="s">
        <v>64</v>
      </c>
      <c r="C60" s="298"/>
      <c r="D60" s="299"/>
      <c r="E60" s="35"/>
      <c r="F60" s="137"/>
      <c r="G60" s="232"/>
      <c r="H60" s="137"/>
      <c r="I60" s="35"/>
    </row>
    <row r="61" spans="1:9" s="13" customFormat="1" ht="18.600000000000001" customHeight="1" thickBot="1" x14ac:dyDescent="0.3">
      <c r="A61" s="50" t="s">
        <v>50</v>
      </c>
      <c r="B61" s="30" t="s">
        <v>65</v>
      </c>
      <c r="C61" s="298"/>
      <c r="D61" s="299"/>
      <c r="E61" s="35"/>
      <c r="F61" s="137"/>
      <c r="G61" s="232"/>
      <c r="H61" s="137"/>
      <c r="I61" s="35"/>
    </row>
    <row r="62" spans="1:9" s="13" customFormat="1" ht="13.5" thickBot="1" x14ac:dyDescent="0.3">
      <c r="A62" s="50" t="s">
        <v>27</v>
      </c>
      <c r="B62" s="30"/>
      <c r="C62" s="310" t="s">
        <v>77</v>
      </c>
      <c r="D62" s="311"/>
      <c r="E62" s="34"/>
      <c r="F62" s="133" t="s">
        <v>410</v>
      </c>
      <c r="G62" s="105"/>
      <c r="H62" s="133" t="s">
        <v>410</v>
      </c>
      <c r="I62" s="34"/>
    </row>
    <row r="63" spans="1:9" s="13" customFormat="1" ht="39.6" customHeight="1" thickBot="1" x14ac:dyDescent="0.3">
      <c r="A63" s="50" t="s">
        <v>28</v>
      </c>
      <c r="B63" s="30" t="s">
        <v>179</v>
      </c>
      <c r="C63" s="310" t="s">
        <v>78</v>
      </c>
      <c r="D63" s="311"/>
      <c r="E63" s="34"/>
      <c r="F63" s="133">
        <v>32</v>
      </c>
      <c r="G63" s="105"/>
      <c r="H63" s="133">
        <v>40</v>
      </c>
      <c r="I63" s="34"/>
    </row>
    <row r="64" spans="1:9" s="13" customFormat="1" ht="39.6" customHeight="1" thickBot="1" x14ac:dyDescent="0.3">
      <c r="A64" s="50" t="s">
        <v>51</v>
      </c>
      <c r="B64" s="30" t="s">
        <v>79</v>
      </c>
      <c r="C64" s="298"/>
      <c r="D64" s="299"/>
      <c r="E64" s="35"/>
      <c r="F64" s="133"/>
      <c r="G64" s="232"/>
      <c r="H64" s="133"/>
      <c r="I64" s="35"/>
    </row>
    <row r="65" spans="1:9" s="13" customFormat="1" ht="41.1" customHeight="1" thickBot="1" x14ac:dyDescent="0.3">
      <c r="A65" s="50" t="s">
        <v>54</v>
      </c>
      <c r="B65" s="30" t="s">
        <v>80</v>
      </c>
      <c r="C65" s="298"/>
      <c r="D65" s="299"/>
      <c r="E65" s="35"/>
      <c r="F65" s="133"/>
      <c r="G65" s="232"/>
      <c r="H65" s="133"/>
      <c r="I65" s="35"/>
    </row>
    <row r="66" spans="1:9" s="13" customFormat="1" ht="78" customHeight="1" thickBot="1" x14ac:dyDescent="0.3">
      <c r="A66" s="50" t="s">
        <v>29</v>
      </c>
      <c r="B66" s="30" t="s">
        <v>132</v>
      </c>
      <c r="C66" s="298"/>
      <c r="D66" s="299"/>
      <c r="E66" s="35"/>
      <c r="F66" s="133"/>
      <c r="G66" s="232"/>
      <c r="H66" s="133"/>
      <c r="I66" s="35"/>
    </row>
    <row r="67" spans="1:9" s="13" customFormat="1" ht="51.75" thickBot="1" x14ac:dyDescent="0.3">
      <c r="A67" s="50" t="s">
        <v>31</v>
      </c>
      <c r="B67" s="30" t="s">
        <v>94</v>
      </c>
      <c r="C67" s="310" t="s">
        <v>30</v>
      </c>
      <c r="D67" s="311"/>
      <c r="E67" s="34"/>
      <c r="F67" s="133" t="s">
        <v>411</v>
      </c>
      <c r="G67" s="105"/>
      <c r="H67" s="133" t="s">
        <v>411</v>
      </c>
      <c r="I67" s="34"/>
    </row>
    <row r="68" spans="1:9" s="13" customFormat="1" ht="28.5" customHeight="1" thickBot="1" x14ac:dyDescent="0.3">
      <c r="A68" s="50" t="s">
        <v>55</v>
      </c>
      <c r="B68" s="30" t="s">
        <v>95</v>
      </c>
      <c r="C68" s="298"/>
      <c r="D68" s="299"/>
      <c r="E68" s="35"/>
      <c r="F68" s="133"/>
      <c r="G68" s="232"/>
      <c r="H68" s="133"/>
      <c r="I68" s="35"/>
    </row>
    <row r="69" spans="1:9" s="13" customFormat="1" ht="39" thickBot="1" x14ac:dyDescent="0.3">
      <c r="A69" s="50" t="s">
        <v>32</v>
      </c>
      <c r="B69" s="30" t="s">
        <v>96</v>
      </c>
      <c r="C69" s="310" t="s">
        <v>30</v>
      </c>
      <c r="D69" s="311"/>
      <c r="E69" s="34"/>
      <c r="F69" s="133" t="s">
        <v>412</v>
      </c>
      <c r="G69" s="105"/>
      <c r="H69" s="133" t="s">
        <v>412</v>
      </c>
      <c r="I69" s="34"/>
    </row>
    <row r="70" spans="1:9" s="13" customFormat="1" ht="40.5" customHeight="1" thickBot="1" x14ac:dyDescent="0.3">
      <c r="A70" s="50" t="s">
        <v>56</v>
      </c>
      <c r="B70" s="30" t="s">
        <v>167</v>
      </c>
      <c r="C70" s="298"/>
      <c r="D70" s="299"/>
      <c r="E70" s="35"/>
      <c r="F70" s="133"/>
      <c r="G70" s="232"/>
      <c r="H70" s="133"/>
      <c r="I70" s="35"/>
    </row>
    <row r="71" spans="1:9" s="13" customFormat="1" ht="27.95" customHeight="1" thickBot="1" x14ac:dyDescent="0.3">
      <c r="A71" s="50" t="s">
        <v>48</v>
      </c>
      <c r="B71" s="30" t="s">
        <v>47</v>
      </c>
      <c r="C71" s="298"/>
      <c r="D71" s="299"/>
      <c r="E71" s="35"/>
      <c r="F71" s="133"/>
      <c r="G71" s="232"/>
      <c r="H71" s="133"/>
      <c r="I71" s="35"/>
    </row>
    <row r="72" spans="1:9" s="13" customFormat="1" ht="27" customHeight="1" thickBot="1" x14ac:dyDescent="0.3">
      <c r="A72" s="50" t="s">
        <v>49</v>
      </c>
      <c r="B72" s="30" t="s">
        <v>103</v>
      </c>
      <c r="C72" s="298"/>
      <c r="D72" s="299"/>
      <c r="E72" s="35"/>
      <c r="F72" s="133"/>
      <c r="G72" s="232"/>
      <c r="H72" s="133"/>
      <c r="I72" s="35"/>
    </row>
    <row r="73" spans="1:9" s="13" customFormat="1" ht="26.25" thickBot="1" x14ac:dyDescent="0.3">
      <c r="A73" s="50" t="s">
        <v>46</v>
      </c>
      <c r="B73" s="30" t="s">
        <v>81</v>
      </c>
      <c r="C73" s="298"/>
      <c r="D73" s="299"/>
      <c r="E73" s="35"/>
      <c r="F73" s="133"/>
      <c r="G73" s="232"/>
      <c r="H73" s="133"/>
      <c r="I73" s="35"/>
    </row>
    <row r="74" spans="1:9" ht="13.5" thickBot="1" x14ac:dyDescent="0.25"/>
    <row r="75" spans="1:9" s="17" customFormat="1" ht="32.25" thickBot="1" x14ac:dyDescent="0.3">
      <c r="A75" s="303" t="s">
        <v>168</v>
      </c>
      <c r="B75" s="304"/>
      <c r="C75" s="304"/>
      <c r="D75" s="305"/>
      <c r="E75" s="38"/>
      <c r="F75" s="95" t="s">
        <v>396</v>
      </c>
      <c r="G75" s="109"/>
      <c r="H75" s="95" t="s">
        <v>450</v>
      </c>
    </row>
    <row r="76" spans="1:9" s="3" customFormat="1" ht="15" customHeight="1" thickBot="1" x14ac:dyDescent="0.3">
      <c r="A76" s="312" t="s">
        <v>169</v>
      </c>
      <c r="B76" s="313"/>
      <c r="C76" s="313"/>
      <c r="D76" s="314"/>
      <c r="E76" s="39"/>
      <c r="F76" s="97" t="s">
        <v>17</v>
      </c>
      <c r="G76" s="110"/>
      <c r="H76" s="97" t="s">
        <v>17</v>
      </c>
    </row>
    <row r="77" spans="1:9" s="13" customFormat="1" ht="12.75" customHeight="1" x14ac:dyDescent="0.25">
      <c r="A77" s="336" t="s">
        <v>82</v>
      </c>
      <c r="B77" s="337"/>
      <c r="C77" s="337"/>
      <c r="D77" s="338"/>
      <c r="E77" s="35"/>
      <c r="F77" s="233">
        <f>3036.6*('PPI Adj'!D6)</f>
        <v>3543.7121999999999</v>
      </c>
      <c r="G77" s="105"/>
      <c r="H77" s="233" t="s">
        <v>182</v>
      </c>
      <c r="I77" s="34"/>
    </row>
    <row r="78" spans="1:9" s="13" customFormat="1" ht="12.75" customHeight="1" x14ac:dyDescent="0.25">
      <c r="A78" s="339" t="s">
        <v>83</v>
      </c>
      <c r="B78" s="340"/>
      <c r="C78" s="340"/>
      <c r="D78" s="341"/>
      <c r="E78" s="35"/>
      <c r="F78" s="138">
        <f>-1127*('PPI Adj'!D6)</f>
        <v>-1315.2090000000001</v>
      </c>
      <c r="G78" s="105"/>
      <c r="H78" s="138">
        <f>-1124*('PPI Adj'!D6)</f>
        <v>-1311.7080000000001</v>
      </c>
      <c r="I78" s="34"/>
    </row>
    <row r="79" spans="1:9" s="13" customFormat="1" ht="12.75" customHeight="1" x14ac:dyDescent="0.25">
      <c r="A79" s="324" t="s">
        <v>34</v>
      </c>
      <c r="B79" s="325"/>
      <c r="C79" s="325"/>
      <c r="D79" s="326"/>
      <c r="E79" s="34"/>
      <c r="F79" s="139">
        <f>379.4*('PPI Adj'!D6)</f>
        <v>442.75979999999998</v>
      </c>
      <c r="G79" s="105"/>
      <c r="H79" s="139">
        <f>379.4*('PPI Adj'!D6)</f>
        <v>442.75979999999998</v>
      </c>
      <c r="I79" s="34"/>
    </row>
    <row r="80" spans="1:9" s="13" customFormat="1" x14ac:dyDescent="0.25">
      <c r="A80" s="324" t="s">
        <v>35</v>
      </c>
      <c r="B80" s="325"/>
      <c r="C80" s="325"/>
      <c r="D80" s="326"/>
      <c r="E80" s="35"/>
      <c r="F80" s="139" t="s">
        <v>188</v>
      </c>
      <c r="G80" s="105"/>
      <c r="H80" s="139" t="s">
        <v>188</v>
      </c>
      <c r="I80" s="34"/>
    </row>
    <row r="81" spans="1:9" s="13" customFormat="1" x14ac:dyDescent="0.25">
      <c r="A81" s="324" t="s">
        <v>36</v>
      </c>
      <c r="B81" s="325"/>
      <c r="C81" s="325"/>
      <c r="D81" s="326"/>
      <c r="E81" s="34"/>
      <c r="F81" s="139">
        <f>413*('PPI Adj'!D6)</f>
        <v>481.971</v>
      </c>
      <c r="G81" s="105"/>
      <c r="H81" s="139">
        <f>203*('PPI Adj'!D6)</f>
        <v>236.90100000000001</v>
      </c>
      <c r="I81" s="34"/>
    </row>
    <row r="82" spans="1:9" s="13" customFormat="1" x14ac:dyDescent="0.25">
      <c r="A82" s="324" t="s">
        <v>60</v>
      </c>
      <c r="B82" s="325"/>
      <c r="C82" s="325"/>
      <c r="D82" s="326"/>
      <c r="E82" s="34"/>
      <c r="F82" s="139">
        <f>1918*('PPI Adj'!D6)</f>
        <v>2238.306</v>
      </c>
      <c r="G82" s="105"/>
      <c r="H82" s="139">
        <f>1918*('PPI Adj'!D6)</f>
        <v>2238.306</v>
      </c>
      <c r="I82" s="34"/>
    </row>
    <row r="83" spans="1:9" s="13" customFormat="1" x14ac:dyDescent="0.25">
      <c r="A83" s="324" t="s">
        <v>61</v>
      </c>
      <c r="B83" s="325"/>
      <c r="C83" s="325"/>
      <c r="D83" s="326"/>
      <c r="E83" s="34"/>
      <c r="F83" s="139" t="s">
        <v>188</v>
      </c>
      <c r="G83" s="105"/>
      <c r="H83" s="139" t="s">
        <v>188</v>
      </c>
      <c r="I83" s="34"/>
    </row>
    <row r="84" spans="1:9" s="13" customFormat="1" ht="12.75" customHeight="1" x14ac:dyDescent="0.25">
      <c r="A84" s="324" t="s">
        <v>86</v>
      </c>
      <c r="B84" s="325"/>
      <c r="C84" s="325"/>
      <c r="D84" s="326"/>
      <c r="E84" s="34"/>
      <c r="F84" s="139">
        <f>1083.6*('PPI Adj'!D6)</f>
        <v>1264.5611999999999</v>
      </c>
      <c r="G84" s="105"/>
      <c r="H84" s="139">
        <f>1083.6*('PPI Adj'!D6)</f>
        <v>1264.5611999999999</v>
      </c>
      <c r="I84" s="34"/>
    </row>
    <row r="85" spans="1:9" ht="12.75" customHeight="1" x14ac:dyDescent="0.2">
      <c r="A85" s="324" t="s">
        <v>85</v>
      </c>
      <c r="B85" s="325"/>
      <c r="C85" s="325"/>
      <c r="D85" s="326"/>
      <c r="E85" s="34"/>
      <c r="F85" s="139">
        <f>5660.2*('PPI Adj'!D6)</f>
        <v>6605.4534000000003</v>
      </c>
      <c r="G85" s="106"/>
      <c r="H85" s="139">
        <f>5117*('PPI Adj'!D6)</f>
        <v>5971.5389999999998</v>
      </c>
      <c r="I85" s="78"/>
    </row>
    <row r="86" spans="1:9" x14ac:dyDescent="0.2">
      <c r="A86" s="324" t="s">
        <v>13</v>
      </c>
      <c r="B86" s="325"/>
      <c r="C86" s="325"/>
      <c r="D86" s="326"/>
      <c r="E86" s="34"/>
      <c r="F86" s="139">
        <f>6498.8*('PPI Adj'!D6)</f>
        <v>7584.0996000000005</v>
      </c>
      <c r="G86" s="106"/>
      <c r="H86" s="139">
        <f>6498.8*('PPI Adj'!D6)</f>
        <v>7584.0996000000005</v>
      </c>
      <c r="I86" s="78"/>
    </row>
    <row r="87" spans="1:9" ht="12.75" customHeight="1" x14ac:dyDescent="0.2">
      <c r="A87" s="324" t="s">
        <v>37</v>
      </c>
      <c r="B87" s="325"/>
      <c r="C87" s="325"/>
      <c r="D87" s="326"/>
      <c r="E87" s="35"/>
      <c r="F87" s="139">
        <f>544.6*('PPI Adj'!D6)</f>
        <v>635.54820000000007</v>
      </c>
      <c r="G87" s="106"/>
      <c r="H87" s="139">
        <f>544.6*('PPI Adj'!D6)</f>
        <v>635.54820000000007</v>
      </c>
      <c r="I87" s="78"/>
    </row>
    <row r="88" spans="1:9" x14ac:dyDescent="0.2">
      <c r="A88" s="324" t="s">
        <v>38</v>
      </c>
      <c r="B88" s="325"/>
      <c r="C88" s="325"/>
      <c r="D88" s="326"/>
      <c r="E88" s="35"/>
      <c r="F88" s="139">
        <f>1111.6*('PPI Adj'!D6)</f>
        <v>1297.2372</v>
      </c>
      <c r="G88" s="106"/>
      <c r="H88" s="139">
        <f>1111.6*('PPI Adj'!D6)</f>
        <v>1297.2372</v>
      </c>
      <c r="I88" s="78"/>
    </row>
    <row r="89" spans="1:9" x14ac:dyDescent="0.2">
      <c r="A89" s="324" t="s">
        <v>39</v>
      </c>
      <c r="B89" s="325"/>
      <c r="C89" s="325"/>
      <c r="D89" s="326"/>
      <c r="E89" s="34"/>
      <c r="F89" s="139">
        <f>616*('PPI Adj'!D6)</f>
        <v>718.87200000000007</v>
      </c>
      <c r="G89" s="106"/>
      <c r="H89" s="139">
        <f>616*('PPI Adj'!D6)</f>
        <v>718.87200000000007</v>
      </c>
      <c r="I89" s="78"/>
    </row>
    <row r="90" spans="1:9" ht="12.75" customHeight="1" x14ac:dyDescent="0.2">
      <c r="A90" s="324" t="s">
        <v>90</v>
      </c>
      <c r="B90" s="325"/>
      <c r="C90" s="325"/>
      <c r="D90" s="326"/>
      <c r="E90" s="35"/>
      <c r="F90" s="139">
        <v>0</v>
      </c>
      <c r="G90" s="106"/>
      <c r="H90" s="139">
        <v>0</v>
      </c>
      <c r="I90" s="78"/>
    </row>
    <row r="91" spans="1:9" ht="12.75" customHeight="1" x14ac:dyDescent="0.2">
      <c r="A91" s="324" t="s">
        <v>88</v>
      </c>
      <c r="B91" s="325"/>
      <c r="C91" s="325"/>
      <c r="D91" s="326"/>
      <c r="E91" s="34"/>
      <c r="F91" s="139" t="s">
        <v>182</v>
      </c>
      <c r="G91" s="106"/>
      <c r="H91" s="139" t="s">
        <v>182</v>
      </c>
      <c r="I91" s="78"/>
    </row>
    <row r="92" spans="1:9" x14ac:dyDescent="0.2">
      <c r="A92" s="324" t="s">
        <v>40</v>
      </c>
      <c r="B92" s="325"/>
      <c r="C92" s="325"/>
      <c r="D92" s="326"/>
      <c r="E92" s="34"/>
      <c r="F92" s="139">
        <f>329*('PPI Adj'!D6)</f>
        <v>383.94300000000004</v>
      </c>
      <c r="G92" s="106"/>
      <c r="H92" s="139">
        <f>329*('PPI Adj'!D6)</f>
        <v>383.94300000000004</v>
      </c>
      <c r="I92" s="78"/>
    </row>
    <row r="93" spans="1:9" x14ac:dyDescent="0.2">
      <c r="A93" s="324" t="s">
        <v>14</v>
      </c>
      <c r="B93" s="325"/>
      <c r="C93" s="325"/>
      <c r="D93" s="326"/>
      <c r="E93" s="34"/>
      <c r="F93" s="139">
        <f>3977*('PPI Adj'!D6)</f>
        <v>4641.1590000000006</v>
      </c>
      <c r="G93" s="106"/>
      <c r="H93" s="139">
        <f>4012*('PPI Adj'!D6)</f>
        <v>4682.0039999999999</v>
      </c>
      <c r="I93" s="78"/>
    </row>
    <row r="94" spans="1:9" ht="12.75" customHeight="1" x14ac:dyDescent="0.2">
      <c r="A94" s="324" t="s">
        <v>91</v>
      </c>
      <c r="B94" s="325"/>
      <c r="C94" s="325"/>
      <c r="D94" s="326"/>
      <c r="E94" s="34"/>
      <c r="F94" s="139">
        <f>3055*('PPI Adj'!D6)</f>
        <v>3565.1849999999999</v>
      </c>
      <c r="G94" s="106"/>
      <c r="H94" s="139">
        <f>3055*('PPI Adj'!D6)</f>
        <v>3565.1849999999999</v>
      </c>
      <c r="I94" s="78"/>
    </row>
    <row r="95" spans="1:9" ht="12.75" customHeight="1" x14ac:dyDescent="0.2">
      <c r="A95" s="324" t="s">
        <v>324</v>
      </c>
      <c r="B95" s="325"/>
      <c r="C95" s="325"/>
      <c r="D95" s="326"/>
      <c r="E95" s="34"/>
      <c r="F95" s="139">
        <v>0</v>
      </c>
      <c r="G95" s="106"/>
      <c r="H95" s="139">
        <v>0</v>
      </c>
      <c r="I95" s="78"/>
    </row>
    <row r="96" spans="1:9" ht="13.5" customHeight="1" thickBot="1" x14ac:dyDescent="0.25">
      <c r="A96" s="342" t="s">
        <v>92</v>
      </c>
      <c r="B96" s="343"/>
      <c r="C96" s="343"/>
      <c r="D96" s="344"/>
      <c r="E96" s="35"/>
      <c r="F96" s="139">
        <f>-929*('PPI Adj'!D6)</f>
        <v>-1084.143</v>
      </c>
      <c r="G96" s="106"/>
      <c r="H96" s="139">
        <f>-929*('PPI Adj'!D6)</f>
        <v>-1084.143</v>
      </c>
      <c r="I96" s="78"/>
    </row>
    <row r="97" spans="1:8" ht="13.5" customHeight="1" thickBot="1" x14ac:dyDescent="0.25"/>
    <row r="98" spans="1:8" s="17" customFormat="1" ht="32.25" thickBot="1" x14ac:dyDescent="0.3">
      <c r="A98" s="303" t="s">
        <v>166</v>
      </c>
      <c r="B98" s="304"/>
      <c r="C98" s="304"/>
      <c r="D98" s="305"/>
      <c r="E98" s="38"/>
      <c r="F98" s="95" t="s">
        <v>396</v>
      </c>
      <c r="G98" s="109"/>
      <c r="H98" s="95" t="s">
        <v>450</v>
      </c>
    </row>
    <row r="99" spans="1:8" s="3" customFormat="1" ht="15" customHeight="1" thickBot="1" x14ac:dyDescent="0.3">
      <c r="A99" s="52" t="s">
        <v>33</v>
      </c>
      <c r="B99" s="24" t="s">
        <v>7</v>
      </c>
      <c r="C99" s="327" t="s">
        <v>165</v>
      </c>
      <c r="D99" s="328"/>
      <c r="E99" s="39"/>
      <c r="F99" s="97" t="s">
        <v>17</v>
      </c>
      <c r="G99" s="110"/>
      <c r="H99" s="97" t="s">
        <v>17</v>
      </c>
    </row>
    <row r="100" spans="1:8" s="13" customFormat="1" ht="27.95" customHeight="1" thickBot="1" x14ac:dyDescent="0.3">
      <c r="A100" s="53" t="s">
        <v>82</v>
      </c>
      <c r="B100" s="16" t="s">
        <v>130</v>
      </c>
      <c r="C100" s="329"/>
      <c r="D100" s="330"/>
      <c r="E100" s="35"/>
      <c r="F100" s="133"/>
      <c r="G100" s="99"/>
      <c r="H100" s="133" t="s">
        <v>182</v>
      </c>
    </row>
    <row r="101" spans="1:8" s="13" customFormat="1" ht="41.1" customHeight="1" thickBot="1" x14ac:dyDescent="0.3">
      <c r="A101" s="53" t="s">
        <v>83</v>
      </c>
      <c r="B101" s="23" t="s">
        <v>146</v>
      </c>
      <c r="C101" s="329"/>
      <c r="D101" s="330"/>
      <c r="E101" s="35"/>
      <c r="F101" s="133"/>
      <c r="G101" s="99"/>
      <c r="H101" s="133"/>
    </row>
    <row r="102" spans="1:8" s="13" customFormat="1" ht="27.95" customHeight="1" thickBot="1" x14ac:dyDescent="0.3">
      <c r="A102" s="50" t="s">
        <v>34</v>
      </c>
      <c r="B102" s="30" t="s">
        <v>107</v>
      </c>
      <c r="C102" s="310" t="s">
        <v>30</v>
      </c>
      <c r="D102" s="311"/>
      <c r="E102" s="34"/>
      <c r="F102" s="133" t="s">
        <v>413</v>
      </c>
      <c r="G102" s="99"/>
      <c r="H102" s="133" t="s">
        <v>413</v>
      </c>
    </row>
    <row r="103" spans="1:8" s="13" customFormat="1" ht="53.45" customHeight="1" thickBot="1" x14ac:dyDescent="0.3">
      <c r="A103" s="50" t="s">
        <v>35</v>
      </c>
      <c r="B103" s="30" t="s">
        <v>97</v>
      </c>
      <c r="C103" s="298"/>
      <c r="D103" s="299"/>
      <c r="E103" s="35"/>
      <c r="F103" s="134" t="s">
        <v>188</v>
      </c>
      <c r="G103" s="99"/>
      <c r="H103" s="134" t="s">
        <v>188</v>
      </c>
    </row>
    <row r="104" spans="1:8" s="13" customFormat="1" ht="30.6" customHeight="1" thickBot="1" x14ac:dyDescent="0.3">
      <c r="A104" s="50" t="s">
        <v>36</v>
      </c>
      <c r="B104" s="30" t="s">
        <v>84</v>
      </c>
      <c r="C104" s="310" t="s">
        <v>99</v>
      </c>
      <c r="D104" s="311"/>
      <c r="E104" s="34"/>
      <c r="F104" s="133" t="s">
        <v>491</v>
      </c>
      <c r="G104" s="99"/>
      <c r="H104" s="133" t="s">
        <v>480</v>
      </c>
    </row>
    <row r="105" spans="1:8" s="13" customFormat="1" ht="12.75" customHeight="1" x14ac:dyDescent="0.25">
      <c r="A105" s="284" t="s">
        <v>60</v>
      </c>
      <c r="B105" s="286" t="s">
        <v>133</v>
      </c>
      <c r="C105" s="288" t="s">
        <v>176</v>
      </c>
      <c r="D105" s="289"/>
      <c r="E105" s="34"/>
      <c r="F105" s="134" t="s">
        <v>452</v>
      </c>
      <c r="G105" s="99"/>
      <c r="H105" s="134" t="s">
        <v>452</v>
      </c>
    </row>
    <row r="106" spans="1:8" s="13" customFormat="1" ht="12.75" customHeight="1" x14ac:dyDescent="0.25">
      <c r="A106" s="292"/>
      <c r="B106" s="293"/>
      <c r="C106" s="294" t="s">
        <v>177</v>
      </c>
      <c r="D106" s="295"/>
      <c r="E106" s="34"/>
      <c r="F106" s="127" t="s">
        <v>462</v>
      </c>
      <c r="G106" s="99"/>
      <c r="H106" s="127" t="s">
        <v>462</v>
      </c>
    </row>
    <row r="107" spans="1:8" s="13" customFormat="1" ht="12.75" customHeight="1" x14ac:dyDescent="0.25">
      <c r="A107" s="292"/>
      <c r="B107" s="293"/>
      <c r="C107" s="294" t="s">
        <v>114</v>
      </c>
      <c r="D107" s="295"/>
      <c r="E107" s="34"/>
      <c r="F107" s="127" t="s">
        <v>468</v>
      </c>
      <c r="G107" s="99"/>
      <c r="H107" s="127" t="s">
        <v>468</v>
      </c>
    </row>
    <row r="108" spans="1:8" s="13" customFormat="1" ht="30.75" customHeight="1" thickBot="1" x14ac:dyDescent="0.3">
      <c r="A108" s="285"/>
      <c r="B108" s="287"/>
      <c r="C108" s="282" t="s">
        <v>115</v>
      </c>
      <c r="D108" s="283"/>
      <c r="E108" s="34"/>
      <c r="F108" s="135" t="s">
        <v>469</v>
      </c>
      <c r="G108" s="99"/>
      <c r="H108" s="135" t="s">
        <v>469</v>
      </c>
    </row>
    <row r="109" spans="1:8" s="13" customFormat="1" ht="12.75" customHeight="1" x14ac:dyDescent="0.25">
      <c r="A109" s="284" t="s">
        <v>61</v>
      </c>
      <c r="B109" s="286" t="s">
        <v>134</v>
      </c>
      <c r="C109" s="288" t="s">
        <v>174</v>
      </c>
      <c r="D109" s="289"/>
      <c r="E109" s="34"/>
      <c r="F109" s="134" t="s">
        <v>452</v>
      </c>
      <c r="G109" s="99"/>
      <c r="H109" s="134" t="s">
        <v>452</v>
      </c>
    </row>
    <row r="110" spans="1:8" s="13" customFormat="1" ht="12.75" customHeight="1" x14ac:dyDescent="0.25">
      <c r="A110" s="292"/>
      <c r="B110" s="293"/>
      <c r="C110" s="294" t="s">
        <v>175</v>
      </c>
      <c r="D110" s="295"/>
      <c r="E110" s="34"/>
      <c r="F110" s="126" t="s">
        <v>461</v>
      </c>
      <c r="G110" s="99"/>
      <c r="H110" s="126" t="s">
        <v>461</v>
      </c>
    </row>
    <row r="111" spans="1:8" s="13" customFormat="1" ht="12.75" customHeight="1" x14ac:dyDescent="0.25">
      <c r="A111" s="292"/>
      <c r="B111" s="293"/>
      <c r="C111" s="294" t="s">
        <v>176</v>
      </c>
      <c r="D111" s="295"/>
      <c r="E111" s="34"/>
      <c r="F111" s="126" t="s">
        <v>452</v>
      </c>
      <c r="G111" s="99"/>
      <c r="H111" s="126" t="s">
        <v>452</v>
      </c>
    </row>
    <row r="112" spans="1:8" s="13" customFormat="1" ht="12.75" customHeight="1" x14ac:dyDescent="0.25">
      <c r="A112" s="292"/>
      <c r="B112" s="293"/>
      <c r="C112" s="294" t="s">
        <v>177</v>
      </c>
      <c r="D112" s="295"/>
      <c r="E112" s="34"/>
      <c r="F112" s="127" t="s">
        <v>462</v>
      </c>
      <c r="G112" s="99"/>
      <c r="H112" s="127" t="s">
        <v>462</v>
      </c>
    </row>
    <row r="113" spans="1:8" s="13" customFormat="1" ht="12.75" customHeight="1" x14ac:dyDescent="0.25">
      <c r="A113" s="292"/>
      <c r="B113" s="293"/>
      <c r="C113" s="294" t="s">
        <v>112</v>
      </c>
      <c r="D113" s="295"/>
      <c r="E113" s="34"/>
      <c r="F113" s="127" t="s">
        <v>463</v>
      </c>
      <c r="G113" s="99"/>
      <c r="H113" s="127" t="s">
        <v>475</v>
      </c>
    </row>
    <row r="114" spans="1:8" s="13" customFormat="1" ht="12.75" customHeight="1" x14ac:dyDescent="0.25">
      <c r="A114" s="292"/>
      <c r="B114" s="293"/>
      <c r="C114" s="294" t="s">
        <v>113</v>
      </c>
      <c r="D114" s="295"/>
      <c r="E114" s="34"/>
      <c r="F114" s="126" t="s">
        <v>184</v>
      </c>
      <c r="G114" s="99"/>
      <c r="H114" s="126" t="s">
        <v>476</v>
      </c>
    </row>
    <row r="115" spans="1:8" s="13" customFormat="1" ht="12.75" customHeight="1" x14ac:dyDescent="0.25">
      <c r="A115" s="292"/>
      <c r="B115" s="293"/>
      <c r="C115" s="294" t="s">
        <v>114</v>
      </c>
      <c r="D115" s="295"/>
      <c r="E115" s="34"/>
      <c r="F115" s="126" t="s">
        <v>464</v>
      </c>
      <c r="G115" s="99"/>
      <c r="H115" s="126" t="s">
        <v>475</v>
      </c>
    </row>
    <row r="116" spans="1:8" s="13" customFormat="1" ht="15.95" customHeight="1" thickBot="1" x14ac:dyDescent="0.3">
      <c r="A116" s="285"/>
      <c r="B116" s="287"/>
      <c r="C116" s="282" t="s">
        <v>115</v>
      </c>
      <c r="D116" s="283"/>
      <c r="E116" s="34"/>
      <c r="F116" s="135" t="s">
        <v>184</v>
      </c>
      <c r="G116" s="99"/>
      <c r="H116" s="135" t="s">
        <v>476</v>
      </c>
    </row>
    <row r="117" spans="1:8" s="13" customFormat="1" ht="145.5" customHeight="1" thickBot="1" x14ac:dyDescent="0.3">
      <c r="A117" s="54" t="s">
        <v>86</v>
      </c>
      <c r="B117" s="18" t="s">
        <v>143</v>
      </c>
      <c r="C117" s="310" t="s">
        <v>104</v>
      </c>
      <c r="D117" s="311"/>
      <c r="E117" s="34"/>
      <c r="F117" s="134" t="s">
        <v>418</v>
      </c>
      <c r="G117" s="99"/>
      <c r="H117" s="134" t="s">
        <v>481</v>
      </c>
    </row>
    <row r="118" spans="1:8" ht="168.6" customHeight="1" thickBot="1" x14ac:dyDescent="0.25">
      <c r="A118" s="50" t="s">
        <v>85</v>
      </c>
      <c r="B118" s="14" t="s">
        <v>170</v>
      </c>
      <c r="C118" s="310" t="s">
        <v>104</v>
      </c>
      <c r="D118" s="311"/>
      <c r="E118" s="34"/>
      <c r="F118" s="133" t="s">
        <v>470</v>
      </c>
      <c r="H118" s="133" t="s">
        <v>482</v>
      </c>
    </row>
    <row r="119" spans="1:8" ht="38.25" x14ac:dyDescent="0.2">
      <c r="A119" s="284" t="s">
        <v>13</v>
      </c>
      <c r="B119" s="286" t="s">
        <v>98</v>
      </c>
      <c r="C119" s="288" t="s">
        <v>30</v>
      </c>
      <c r="D119" s="289"/>
      <c r="E119" s="34"/>
      <c r="F119" s="134" t="s">
        <v>419</v>
      </c>
      <c r="H119" s="134" t="s">
        <v>419</v>
      </c>
    </row>
    <row r="120" spans="1:8" ht="30.95" customHeight="1" thickBot="1" x14ac:dyDescent="0.25">
      <c r="A120" s="285"/>
      <c r="B120" s="287"/>
      <c r="C120" s="282" t="s">
        <v>109</v>
      </c>
      <c r="D120" s="283"/>
      <c r="E120" s="34"/>
      <c r="F120" s="135" t="s">
        <v>388</v>
      </c>
      <c r="H120" s="135" t="s">
        <v>388</v>
      </c>
    </row>
    <row r="121" spans="1:8" ht="66.95" customHeight="1" thickBot="1" x14ac:dyDescent="0.25">
      <c r="A121" s="50" t="s">
        <v>37</v>
      </c>
      <c r="B121" s="30" t="s">
        <v>135</v>
      </c>
      <c r="C121" s="298"/>
      <c r="D121" s="299"/>
      <c r="E121" s="35"/>
      <c r="F121" s="133" t="s">
        <v>471</v>
      </c>
      <c r="H121" s="133" t="s">
        <v>471</v>
      </c>
    </row>
    <row r="122" spans="1:8" ht="41.1" customHeight="1" thickBot="1" x14ac:dyDescent="0.25">
      <c r="A122" s="50" t="s">
        <v>38</v>
      </c>
      <c r="B122" s="30" t="s">
        <v>87</v>
      </c>
      <c r="C122" s="298"/>
      <c r="D122" s="299"/>
      <c r="E122" s="35"/>
      <c r="F122" s="133"/>
      <c r="H122" s="133"/>
    </row>
    <row r="123" spans="1:8" ht="39" thickBot="1" x14ac:dyDescent="0.25">
      <c r="A123" s="50" t="s">
        <v>39</v>
      </c>
      <c r="B123" s="30" t="s">
        <v>106</v>
      </c>
      <c r="C123" s="310" t="s">
        <v>105</v>
      </c>
      <c r="D123" s="311"/>
      <c r="E123" s="34"/>
      <c r="F123" s="133" t="s">
        <v>421</v>
      </c>
      <c r="H123" s="133" t="s">
        <v>421</v>
      </c>
    </row>
    <row r="124" spans="1:8" ht="40.5" customHeight="1" thickBot="1" x14ac:dyDescent="0.25">
      <c r="A124" s="50" t="s">
        <v>90</v>
      </c>
      <c r="B124" s="30" t="s">
        <v>129</v>
      </c>
      <c r="C124" s="298"/>
      <c r="D124" s="299"/>
      <c r="E124" s="35"/>
      <c r="F124" s="133" t="s">
        <v>423</v>
      </c>
      <c r="H124" s="133" t="s">
        <v>423</v>
      </c>
    </row>
    <row r="125" spans="1:8" x14ac:dyDescent="0.2">
      <c r="A125" s="284" t="s">
        <v>88</v>
      </c>
      <c r="B125" s="286" t="s">
        <v>148</v>
      </c>
      <c r="C125" s="288" t="s">
        <v>100</v>
      </c>
      <c r="D125" s="289"/>
      <c r="E125" s="34"/>
      <c r="F125" s="134" t="s">
        <v>182</v>
      </c>
      <c r="H125" s="134" t="s">
        <v>182</v>
      </c>
    </row>
    <row r="126" spans="1:8" ht="105" customHeight="1" thickBot="1" x14ac:dyDescent="0.25">
      <c r="A126" s="285"/>
      <c r="B126" s="287"/>
      <c r="C126" s="282" t="s">
        <v>110</v>
      </c>
      <c r="D126" s="283"/>
      <c r="E126" s="34"/>
      <c r="F126" s="221"/>
      <c r="H126" s="221"/>
    </row>
    <row r="127" spans="1:8" ht="39" thickBot="1" x14ac:dyDescent="0.25">
      <c r="A127" s="50" t="s">
        <v>40</v>
      </c>
      <c r="B127" s="30" t="s">
        <v>137</v>
      </c>
      <c r="C127" s="310" t="s">
        <v>100</v>
      </c>
      <c r="D127" s="311"/>
      <c r="E127" s="34"/>
      <c r="F127" s="135" t="s">
        <v>448</v>
      </c>
      <c r="H127" s="135" t="s">
        <v>448</v>
      </c>
    </row>
    <row r="128" spans="1:8" ht="54" customHeight="1" thickBot="1" x14ac:dyDescent="0.25">
      <c r="A128" s="50" t="s">
        <v>14</v>
      </c>
      <c r="B128" s="30" t="s">
        <v>138</v>
      </c>
      <c r="C128" s="310" t="s">
        <v>139</v>
      </c>
      <c r="D128" s="311"/>
      <c r="E128" s="34"/>
      <c r="F128" s="133">
        <v>2</v>
      </c>
      <c r="H128" s="133">
        <v>2</v>
      </c>
    </row>
    <row r="129" spans="1:8" ht="66.95" customHeight="1" thickBot="1" x14ac:dyDescent="0.25">
      <c r="A129" s="50" t="s">
        <v>91</v>
      </c>
      <c r="B129" s="30" t="s">
        <v>144</v>
      </c>
      <c r="C129" s="310" t="s">
        <v>100</v>
      </c>
      <c r="D129" s="311"/>
      <c r="E129" s="34"/>
      <c r="F129" s="133" t="s">
        <v>425</v>
      </c>
      <c r="H129" s="133" t="s">
        <v>425</v>
      </c>
    </row>
    <row r="130" spans="1:8" ht="65.45" customHeight="1" thickBot="1" x14ac:dyDescent="0.25">
      <c r="A130" s="50" t="s">
        <v>92</v>
      </c>
      <c r="B130" s="30" t="s">
        <v>145</v>
      </c>
      <c r="C130" s="298"/>
      <c r="D130" s="299"/>
      <c r="E130" s="35"/>
      <c r="F130" s="133"/>
      <c r="H130" s="133"/>
    </row>
  </sheetData>
  <sheetProtection algorithmName="SHA-512" hashValue="m3qPRIlPiKYzryOKWR7Di047bKz0AxuUDR1Lo4i8Il+LzWdGiZuBb09pTL2tNAlaB/PuqyoOK8m+Py3/uKy/yw==" saltValue="nU6/ZS73+ArqUOj/42m8xg==" spinCount="100000" sheet="1" objects="1" scenarios="1"/>
  <dataConsolidate/>
  <mergeCells count="145">
    <mergeCell ref="B23:D23"/>
    <mergeCell ref="A25:D25"/>
    <mergeCell ref="C27:D27"/>
    <mergeCell ref="A28:A29"/>
    <mergeCell ref="B28:B29"/>
    <mergeCell ref="C28:D28"/>
    <mergeCell ref="C29:D29"/>
    <mergeCell ref="C30:D30"/>
    <mergeCell ref="A3:D3"/>
    <mergeCell ref="A4:D4"/>
    <mergeCell ref="A6:D6"/>
    <mergeCell ref="A19:D19"/>
    <mergeCell ref="B12:D12"/>
    <mergeCell ref="B13:D13"/>
    <mergeCell ref="B14:D14"/>
    <mergeCell ref="B15:D15"/>
    <mergeCell ref="B16:D16"/>
    <mergeCell ref="B8:D8"/>
    <mergeCell ref="B9:D9"/>
    <mergeCell ref="B10:D10"/>
    <mergeCell ref="B11:D11"/>
    <mergeCell ref="C26:D26"/>
    <mergeCell ref="B17:D17"/>
    <mergeCell ref="B21:D21"/>
    <mergeCell ref="B22:D22"/>
    <mergeCell ref="A49:A51"/>
    <mergeCell ref="B49:B51"/>
    <mergeCell ref="C49:D49"/>
    <mergeCell ref="C50:D50"/>
    <mergeCell ref="C51:D51"/>
    <mergeCell ref="A31:A35"/>
    <mergeCell ref="B31:B35"/>
    <mergeCell ref="C31:D31"/>
    <mergeCell ref="C32:D32"/>
    <mergeCell ref="C33:D33"/>
    <mergeCell ref="C34:D34"/>
    <mergeCell ref="C35:D35"/>
    <mergeCell ref="A36:A37"/>
    <mergeCell ref="B36:B37"/>
    <mergeCell ref="C36:D36"/>
    <mergeCell ref="C37:D37"/>
    <mergeCell ref="A38:A39"/>
    <mergeCell ref="B38:B39"/>
    <mergeCell ref="C38:D38"/>
    <mergeCell ref="C39:D39"/>
    <mergeCell ref="C40:D40"/>
    <mergeCell ref="A41:A48"/>
    <mergeCell ref="B41:B48"/>
    <mergeCell ref="C41:D41"/>
    <mergeCell ref="C42:D42"/>
    <mergeCell ref="C43:D43"/>
    <mergeCell ref="C44:D44"/>
    <mergeCell ref="C45:D45"/>
    <mergeCell ref="C46:D46"/>
    <mergeCell ref="C47:D47"/>
    <mergeCell ref="C48:D48"/>
    <mergeCell ref="C64:D64"/>
    <mergeCell ref="C65:D65"/>
    <mergeCell ref="C66:D66"/>
    <mergeCell ref="C67:D67"/>
    <mergeCell ref="C68:D68"/>
    <mergeCell ref="C52:D52"/>
    <mergeCell ref="A53:A54"/>
    <mergeCell ref="B53:B54"/>
    <mergeCell ref="C53:D53"/>
    <mergeCell ref="C54:D54"/>
    <mergeCell ref="A55:A57"/>
    <mergeCell ref="B55:B57"/>
    <mergeCell ref="C55:D55"/>
    <mergeCell ref="C56:D56"/>
    <mergeCell ref="C57:D57"/>
    <mergeCell ref="C58:D58"/>
    <mergeCell ref="C59:D59"/>
    <mergeCell ref="C60:D60"/>
    <mergeCell ref="C61:D61"/>
    <mergeCell ref="C62:D62"/>
    <mergeCell ref="C63:D63"/>
    <mergeCell ref="A85:D85"/>
    <mergeCell ref="A76:D76"/>
    <mergeCell ref="A77:D77"/>
    <mergeCell ref="A78:D78"/>
    <mergeCell ref="A79:D79"/>
    <mergeCell ref="A92:D92"/>
    <mergeCell ref="C69:D69"/>
    <mergeCell ref="A80:D80"/>
    <mergeCell ref="A81:D81"/>
    <mergeCell ref="A82:D82"/>
    <mergeCell ref="A83:D83"/>
    <mergeCell ref="A84:D84"/>
    <mergeCell ref="C70:D70"/>
    <mergeCell ref="C71:D71"/>
    <mergeCell ref="C72:D72"/>
    <mergeCell ref="C73:D73"/>
    <mergeCell ref="A75:D75"/>
    <mergeCell ref="A93:D93"/>
    <mergeCell ref="A94:D94"/>
    <mergeCell ref="A98:D98"/>
    <mergeCell ref="A86:D86"/>
    <mergeCell ref="A87:D87"/>
    <mergeCell ref="A88:D88"/>
    <mergeCell ref="A89:D89"/>
    <mergeCell ref="A90:D90"/>
    <mergeCell ref="A91:D91"/>
    <mergeCell ref="A96:D96"/>
    <mergeCell ref="A95:D95"/>
    <mergeCell ref="A105:A108"/>
    <mergeCell ref="B105:B108"/>
    <mergeCell ref="C105:D105"/>
    <mergeCell ref="C106:D106"/>
    <mergeCell ref="C107:D107"/>
    <mergeCell ref="C108:D108"/>
    <mergeCell ref="A109:A116"/>
    <mergeCell ref="B109:B116"/>
    <mergeCell ref="C109:D109"/>
    <mergeCell ref="C110:D110"/>
    <mergeCell ref="C111:D111"/>
    <mergeCell ref="C112:D112"/>
    <mergeCell ref="C130:D130"/>
    <mergeCell ref="C121:D121"/>
    <mergeCell ref="C122:D122"/>
    <mergeCell ref="C123:D123"/>
    <mergeCell ref="C124:D124"/>
    <mergeCell ref="A119:A120"/>
    <mergeCell ref="B119:B120"/>
    <mergeCell ref="C119:D119"/>
    <mergeCell ref="C120:D120"/>
    <mergeCell ref="A125:A126"/>
    <mergeCell ref="B125:B126"/>
    <mergeCell ref="C125:D125"/>
    <mergeCell ref="C126:D126"/>
    <mergeCell ref="C127:D127"/>
    <mergeCell ref="C128:D128"/>
    <mergeCell ref="C129:D129"/>
    <mergeCell ref="C99:D99"/>
    <mergeCell ref="C100:D100"/>
    <mergeCell ref="C101:D101"/>
    <mergeCell ref="C102:D102"/>
    <mergeCell ref="C117:D117"/>
    <mergeCell ref="C118:D118"/>
    <mergeCell ref="C113:D113"/>
    <mergeCell ref="C114:D114"/>
    <mergeCell ref="C115:D115"/>
    <mergeCell ref="C116:D116"/>
    <mergeCell ref="C103:D103"/>
    <mergeCell ref="C104:D104"/>
  </mergeCells>
  <conditionalFormatting sqref="C52 C60">
    <cfRule type="expression" dxfId="145" priority="51">
      <formula>#REF!="NO"</formula>
    </cfRule>
  </conditionalFormatting>
  <conditionalFormatting sqref="C100:F130">
    <cfRule type="expression" dxfId="144" priority="2">
      <formula>#REF!="NO"</formula>
    </cfRule>
  </conditionalFormatting>
  <conditionalFormatting sqref="C27:I73">
    <cfRule type="expression" dxfId="143" priority="3">
      <formula>#REF!="NO"</formula>
    </cfRule>
  </conditionalFormatting>
  <conditionalFormatting sqref="E77:F96">
    <cfRule type="expression" dxfId="142" priority="12">
      <formula>#REF!="NO"</formula>
    </cfRule>
  </conditionalFormatting>
  <conditionalFormatting sqref="F8:F17">
    <cfRule type="expression" dxfId="141" priority="46">
      <formula>#REF!="NO"</formula>
    </cfRule>
  </conditionalFormatting>
  <conditionalFormatting sqref="F21:F23">
    <cfRule type="expression" dxfId="140" priority="47">
      <formula>#REF!="NO"</formula>
    </cfRule>
  </conditionalFormatting>
  <conditionalFormatting sqref="H8:H17">
    <cfRule type="expression" dxfId="139" priority="23">
      <formula>#REF!="NO"</formula>
    </cfRule>
  </conditionalFormatting>
  <conditionalFormatting sqref="H21:H23">
    <cfRule type="expression" dxfId="138" priority="24">
      <formula>#REF!="NO"</formula>
    </cfRule>
  </conditionalFormatting>
  <conditionalFormatting sqref="H77:H96">
    <cfRule type="expression" dxfId="137" priority="11">
      <formula>#REF!="NO"</formula>
    </cfRule>
  </conditionalFormatting>
  <conditionalFormatting sqref="H100:H130">
    <cfRule type="expression" dxfId="136" priority="1">
      <formula>#REF!="NO"</formula>
    </cfRule>
  </conditionalFormatting>
  <dataValidations count="3">
    <dataValidation type="decimal" operator="greaterThanOrEqual" allowBlank="1" showInputMessage="1" showErrorMessage="1" error="The Pickup Allowance cannot be a negative number." sqref="F16 H16" xr:uid="{00000000-0002-0000-0500-000002000000}">
      <formula1>0</formula1>
    </dataValidation>
    <dataValidation type="decimal" allowBlank="1" showInputMessage="1" showErrorMessage="1" error="Invalid Entry - Bidder must enter a value that is greater than $0" sqref="F21 H21" xr:uid="{00000000-0002-0000-0500-000001000000}">
      <formula1>0</formula1>
      <formula2>9E+21</formula2>
    </dataValidation>
    <dataValidation type="decimal" allowBlank="1" showInputMessage="1" showErrorMessage="1" error="The Additional Options NYS Discount entered must be greater than 0%, or less than or equal to 100%." sqref="F23 H23" xr:uid="{00000000-0002-0000-0500-000000000000}">
      <formula1>0.01</formula1>
      <formula2>100</formula2>
    </dataValidation>
  </dataValidations>
  <pageMargins left="0.25" right="0.25" top="0.5" bottom="0.25" header="0.3" footer="0.3"/>
  <pageSetup scale="80" fitToHeight="0" orientation="landscape" r:id="rId1"/>
  <rowBreaks count="4" manualBreakCount="4">
    <brk id="23" max="8" man="1"/>
    <brk id="54" max="8" man="1"/>
    <brk id="73" max="8" man="1"/>
    <brk id="108" max="8"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756D7-B818-4446-886D-F2FD70230085}">
  <sheetPr>
    <tabColor theme="5" tint="0.59999389629810485"/>
    <pageSetUpPr autoPageBreaks="0" fitToPage="1"/>
  </sheetPr>
  <dimension ref="A1:I135"/>
  <sheetViews>
    <sheetView showGridLines="0" zoomScaleNormal="100" zoomScaleSheetLayoutView="80" workbookViewId="0">
      <selection activeCell="A3" sqref="A3:D3"/>
    </sheetView>
  </sheetViews>
  <sheetFormatPr defaultColWidth="9.140625" defaultRowHeight="12.75" x14ac:dyDescent="0.2"/>
  <cols>
    <col min="1" max="1" width="19.140625" style="2" customWidth="1"/>
    <col min="2" max="2" width="62.85546875" style="2" customWidth="1"/>
    <col min="3" max="3" width="14.7109375" style="2" customWidth="1"/>
    <col min="4" max="4" width="22" style="2" customWidth="1"/>
    <col min="5" max="5" width="2.7109375" style="2" customWidth="1"/>
    <col min="6" max="6" width="21.28515625" style="106" customWidth="1"/>
    <col min="7" max="7" width="21.28515625" style="107" customWidth="1"/>
    <col min="8" max="16384" width="9.140625" style="2"/>
  </cols>
  <sheetData>
    <row r="1" spans="1:9" ht="18" customHeight="1" x14ac:dyDescent="0.2">
      <c r="A1" s="235" t="str">
        <f>'A (Item 2-G)'!$A$1</f>
        <v>GROUP 40524-23254, SCHOOL BUSES (Statewide)                                                             Attachment 1 - Specifications and Pricing (Revised October 15, 2026)</v>
      </c>
      <c r="F1" s="107"/>
    </row>
    <row r="2" spans="1:9" s="25" customFormat="1" ht="18" customHeight="1" thickBot="1" x14ac:dyDescent="0.3">
      <c r="A2" s="144" t="s">
        <v>373</v>
      </c>
      <c r="B2" s="26"/>
      <c r="C2" s="26"/>
      <c r="D2" s="26"/>
      <c r="E2" s="26"/>
      <c r="F2" s="143"/>
      <c r="G2" s="144"/>
    </row>
    <row r="3" spans="1:9" ht="24" thickBot="1" x14ac:dyDescent="0.25">
      <c r="A3" s="345" t="s">
        <v>289</v>
      </c>
      <c r="B3" s="346"/>
      <c r="C3" s="346"/>
      <c r="D3" s="347"/>
      <c r="E3" s="9"/>
      <c r="F3" s="145"/>
    </row>
    <row r="4" spans="1:9" ht="51" customHeight="1" thickBot="1" x14ac:dyDescent="0.25">
      <c r="A4" s="273" t="s">
        <v>288</v>
      </c>
      <c r="B4" s="274"/>
      <c r="C4" s="274"/>
      <c r="D4" s="275"/>
      <c r="E4" s="9"/>
      <c r="F4" s="145"/>
    </row>
    <row r="5" spans="1:9" s="4" customFormat="1" ht="11.25" customHeight="1" thickBot="1" x14ac:dyDescent="0.3">
      <c r="A5" s="57"/>
      <c r="B5" s="57"/>
      <c r="C5" s="57"/>
      <c r="D5" s="57"/>
      <c r="E5" s="57"/>
      <c r="F5" s="123"/>
      <c r="G5" s="114"/>
    </row>
    <row r="6" spans="1:9" s="8" customFormat="1" ht="16.5" customHeight="1" thickBot="1" x14ac:dyDescent="0.25">
      <c r="A6" s="276" t="s">
        <v>151</v>
      </c>
      <c r="B6" s="277"/>
      <c r="C6" s="277"/>
      <c r="D6" s="278"/>
      <c r="E6" s="36"/>
      <c r="F6" s="113" t="s">
        <v>262</v>
      </c>
      <c r="G6" s="113" t="s">
        <v>262</v>
      </c>
    </row>
    <row r="7" spans="1:9" s="4" customFormat="1" ht="15" customHeight="1" thickBot="1" x14ac:dyDescent="0.3">
      <c r="A7" s="41" t="s">
        <v>6</v>
      </c>
      <c r="B7" s="27" t="s">
        <v>165</v>
      </c>
      <c r="C7" s="32"/>
      <c r="D7" s="40"/>
      <c r="E7" s="37"/>
      <c r="F7" s="97" t="s">
        <v>19</v>
      </c>
      <c r="G7" s="97" t="s">
        <v>261</v>
      </c>
    </row>
    <row r="8" spans="1:9" ht="39.75" thickTop="1" thickBot="1" x14ac:dyDescent="0.25">
      <c r="A8" s="42" t="s">
        <v>9</v>
      </c>
      <c r="B8" s="267" t="s">
        <v>152</v>
      </c>
      <c r="C8" s="268"/>
      <c r="D8" s="269"/>
      <c r="E8" s="13"/>
      <c r="F8" s="207" t="s">
        <v>315</v>
      </c>
      <c r="G8" s="224" t="s">
        <v>316</v>
      </c>
    </row>
    <row r="9" spans="1:9" s="8" customFormat="1" ht="39.6" customHeight="1" thickTop="1" thickBot="1" x14ac:dyDescent="0.25">
      <c r="A9" s="42" t="s">
        <v>136</v>
      </c>
      <c r="B9" s="267" t="s">
        <v>196</v>
      </c>
      <c r="C9" s="268"/>
      <c r="D9" s="269"/>
      <c r="E9" s="13"/>
      <c r="F9" s="207" t="s">
        <v>287</v>
      </c>
      <c r="G9" s="224" t="s">
        <v>287</v>
      </c>
    </row>
    <row r="10" spans="1:9" ht="14.1" customHeight="1" thickTop="1" x14ac:dyDescent="0.2">
      <c r="A10" s="43" t="s">
        <v>0</v>
      </c>
      <c r="B10" s="258" t="s">
        <v>154</v>
      </c>
      <c r="C10" s="259"/>
      <c r="D10" s="260"/>
      <c r="E10" s="13"/>
      <c r="F10" s="127" t="s">
        <v>285</v>
      </c>
      <c r="G10" s="210" t="s">
        <v>285</v>
      </c>
    </row>
    <row r="11" spans="1:9" x14ac:dyDescent="0.2">
      <c r="A11" s="43" t="s">
        <v>1</v>
      </c>
      <c r="B11" s="258" t="s">
        <v>153</v>
      </c>
      <c r="C11" s="259"/>
      <c r="D11" s="260"/>
      <c r="E11" s="13"/>
      <c r="F11" s="127" t="s">
        <v>284</v>
      </c>
      <c r="G11" s="210" t="s">
        <v>284</v>
      </c>
    </row>
    <row r="12" spans="1:9" ht="15" customHeight="1" thickBot="1" x14ac:dyDescent="0.25">
      <c r="A12" s="44" t="s">
        <v>2</v>
      </c>
      <c r="B12" s="261" t="s">
        <v>155</v>
      </c>
      <c r="C12" s="262"/>
      <c r="D12" s="263"/>
      <c r="E12" s="13"/>
      <c r="F12" s="128" t="s">
        <v>283</v>
      </c>
      <c r="G12" s="211" t="s">
        <v>283</v>
      </c>
      <c r="I12" s="2" t="s">
        <v>286</v>
      </c>
    </row>
    <row r="13" spans="1:9" ht="13.5" thickTop="1" x14ac:dyDescent="0.2">
      <c r="A13" s="43" t="s">
        <v>3</v>
      </c>
      <c r="B13" s="258" t="s">
        <v>157</v>
      </c>
      <c r="C13" s="259"/>
      <c r="D13" s="260"/>
      <c r="E13" s="13"/>
      <c r="F13" s="127" t="s">
        <v>285</v>
      </c>
      <c r="G13" s="210" t="s">
        <v>285</v>
      </c>
    </row>
    <row r="14" spans="1:9" x14ac:dyDescent="0.2">
      <c r="A14" s="43" t="s">
        <v>4</v>
      </c>
      <c r="B14" s="258" t="s">
        <v>156</v>
      </c>
      <c r="C14" s="259"/>
      <c r="D14" s="260"/>
      <c r="E14" s="13"/>
      <c r="F14" s="127" t="s">
        <v>284</v>
      </c>
      <c r="G14" s="210" t="s">
        <v>284</v>
      </c>
    </row>
    <row r="15" spans="1:9" ht="15.75" customHeight="1" thickBot="1" x14ac:dyDescent="0.25">
      <c r="A15" s="45" t="s">
        <v>5</v>
      </c>
      <c r="B15" s="261" t="s">
        <v>158</v>
      </c>
      <c r="C15" s="262"/>
      <c r="D15" s="263"/>
      <c r="E15" s="13"/>
      <c r="F15" s="129" t="s">
        <v>283</v>
      </c>
      <c r="G15" s="211" t="s">
        <v>283</v>
      </c>
    </row>
    <row r="16" spans="1:9" ht="29.25" customHeight="1" thickTop="1" x14ac:dyDescent="0.2">
      <c r="A16" s="43" t="s">
        <v>101</v>
      </c>
      <c r="B16" s="264" t="s">
        <v>160</v>
      </c>
      <c r="C16" s="265"/>
      <c r="D16" s="266"/>
      <c r="E16" s="13"/>
      <c r="F16" s="130">
        <v>0</v>
      </c>
      <c r="G16" s="212">
        <v>0</v>
      </c>
    </row>
    <row r="17" spans="1:7" ht="30.75" customHeight="1" thickBot="1" x14ac:dyDescent="0.25">
      <c r="A17" s="45" t="s">
        <v>43</v>
      </c>
      <c r="B17" s="261" t="s">
        <v>159</v>
      </c>
      <c r="C17" s="262"/>
      <c r="D17" s="263"/>
      <c r="E17" s="13"/>
      <c r="F17" s="129" t="s">
        <v>317</v>
      </c>
      <c r="G17" s="225" t="s">
        <v>317</v>
      </c>
    </row>
    <row r="18" spans="1:7" s="10" customFormat="1" ht="14.25" thickTop="1" thickBot="1" x14ac:dyDescent="0.25">
      <c r="C18" s="11"/>
      <c r="D18" s="11"/>
      <c r="E18" s="11"/>
      <c r="F18" s="100"/>
      <c r="G18" s="114"/>
    </row>
    <row r="19" spans="1:7" s="12" customFormat="1" ht="16.5" customHeight="1" thickBot="1" x14ac:dyDescent="0.25">
      <c r="A19" s="276" t="s">
        <v>150</v>
      </c>
      <c r="B19" s="277"/>
      <c r="C19" s="277"/>
      <c r="D19" s="278"/>
      <c r="E19" s="36"/>
      <c r="F19" s="113" t="s">
        <v>262</v>
      </c>
      <c r="G19" s="113" t="s">
        <v>262</v>
      </c>
    </row>
    <row r="20" spans="1:7" s="4" customFormat="1" ht="15" customHeight="1" thickBot="1" x14ac:dyDescent="0.3">
      <c r="A20" s="55" t="s">
        <v>6</v>
      </c>
      <c r="B20" s="31" t="s">
        <v>165</v>
      </c>
      <c r="C20" s="33"/>
      <c r="D20" s="48"/>
      <c r="E20" s="37"/>
      <c r="F20" s="97" t="s">
        <v>19</v>
      </c>
      <c r="G20" s="97" t="s">
        <v>261</v>
      </c>
    </row>
    <row r="21" spans="1:7" ht="56.25" customHeight="1" x14ac:dyDescent="0.2">
      <c r="A21" s="46" t="s">
        <v>42</v>
      </c>
      <c r="B21" s="279" t="s">
        <v>161</v>
      </c>
      <c r="C21" s="280"/>
      <c r="D21" s="281"/>
      <c r="E21" s="13"/>
      <c r="F21" s="208">
        <f>127210*('PPI Adj'!D6)</f>
        <v>148454.07</v>
      </c>
      <c r="G21" s="226">
        <f>124971*('PPI Adj'!D6)</f>
        <v>145841.15700000001</v>
      </c>
    </row>
    <row r="22" spans="1:7" ht="33" customHeight="1" thickBot="1" x14ac:dyDescent="0.25">
      <c r="A22" s="47" t="s">
        <v>41</v>
      </c>
      <c r="B22" s="300" t="s">
        <v>163</v>
      </c>
      <c r="C22" s="301"/>
      <c r="D22" s="302"/>
      <c r="E22" s="1"/>
      <c r="F22" s="214">
        <v>16</v>
      </c>
      <c r="G22" s="215">
        <v>16</v>
      </c>
    </row>
    <row r="23" spans="1:7" ht="13.5" thickBot="1" x14ac:dyDescent="0.25">
      <c r="A23" s="58"/>
      <c r="B23" s="1"/>
      <c r="C23" s="1"/>
      <c r="D23" s="1"/>
      <c r="E23" s="1"/>
      <c r="F23" s="102"/>
      <c r="G23" s="110"/>
    </row>
    <row r="24" spans="1:7" s="8" customFormat="1" ht="15.75" customHeight="1" thickBot="1" x14ac:dyDescent="0.25">
      <c r="A24" s="303" t="s">
        <v>164</v>
      </c>
      <c r="B24" s="304"/>
      <c r="C24" s="304"/>
      <c r="D24" s="305"/>
      <c r="E24" s="38"/>
      <c r="F24" s="113" t="s">
        <v>262</v>
      </c>
      <c r="G24" s="113" t="s">
        <v>262</v>
      </c>
    </row>
    <row r="25" spans="1:7" s="3" customFormat="1" ht="32.25" customHeight="1" thickBot="1" x14ac:dyDescent="0.3">
      <c r="A25" s="55" t="s">
        <v>6</v>
      </c>
      <c r="B25" s="56" t="s">
        <v>7</v>
      </c>
      <c r="C25" s="306" t="s">
        <v>165</v>
      </c>
      <c r="D25" s="307"/>
      <c r="E25" s="39"/>
      <c r="F25" s="97" t="s">
        <v>19</v>
      </c>
      <c r="G25" s="97" t="s">
        <v>261</v>
      </c>
    </row>
    <row r="26" spans="1:7" s="13" customFormat="1" ht="81" customHeight="1" thickBot="1" x14ac:dyDescent="0.3">
      <c r="A26" s="49" t="s">
        <v>8</v>
      </c>
      <c r="B26" s="29" t="s">
        <v>282</v>
      </c>
      <c r="C26" s="282" t="s">
        <v>118</v>
      </c>
      <c r="D26" s="283"/>
      <c r="E26" s="34"/>
      <c r="F26" s="135">
        <v>25500</v>
      </c>
      <c r="G26" s="133">
        <v>25500</v>
      </c>
    </row>
    <row r="27" spans="1:7" s="13" customFormat="1" x14ac:dyDescent="0.25">
      <c r="A27" s="284" t="s">
        <v>21</v>
      </c>
      <c r="B27" s="286" t="s">
        <v>281</v>
      </c>
      <c r="C27" s="288" t="s">
        <v>67</v>
      </c>
      <c r="D27" s="289"/>
      <c r="E27" s="34"/>
      <c r="F27" s="134">
        <v>5</v>
      </c>
      <c r="G27" s="218">
        <v>5</v>
      </c>
    </row>
    <row r="28" spans="1:7" s="13" customFormat="1" ht="13.5" thickBot="1" x14ac:dyDescent="0.3">
      <c r="A28" s="285"/>
      <c r="B28" s="287"/>
      <c r="C28" s="282" t="s">
        <v>68</v>
      </c>
      <c r="D28" s="283"/>
      <c r="E28" s="34"/>
      <c r="F28" s="135">
        <v>30</v>
      </c>
      <c r="G28" s="217">
        <v>30</v>
      </c>
    </row>
    <row r="29" spans="1:7" s="13" customFormat="1" ht="13.5" thickBot="1" x14ac:dyDescent="0.3">
      <c r="A29" s="50" t="s">
        <v>123</v>
      </c>
      <c r="B29" s="30" t="s">
        <v>108</v>
      </c>
      <c r="C29" s="298"/>
      <c r="D29" s="299"/>
      <c r="E29" s="35"/>
      <c r="F29" s="133"/>
      <c r="G29" s="220"/>
    </row>
    <row r="30" spans="1:7" s="13" customFormat="1" x14ac:dyDescent="0.25">
      <c r="A30" s="284" t="s">
        <v>59</v>
      </c>
      <c r="B30" s="286"/>
      <c r="C30" s="288" t="s">
        <v>58</v>
      </c>
      <c r="D30" s="289"/>
      <c r="E30" s="34"/>
      <c r="F30" s="134">
        <v>170</v>
      </c>
      <c r="G30" s="218">
        <v>170</v>
      </c>
    </row>
    <row r="31" spans="1:7" s="13" customFormat="1" x14ac:dyDescent="0.25">
      <c r="A31" s="292"/>
      <c r="B31" s="293"/>
      <c r="C31" s="294" t="s">
        <v>57</v>
      </c>
      <c r="D31" s="295"/>
      <c r="E31" s="34"/>
      <c r="F31" s="127">
        <v>300.14</v>
      </c>
      <c r="G31" s="210">
        <v>300.14</v>
      </c>
    </row>
    <row r="32" spans="1:7" s="13" customFormat="1" x14ac:dyDescent="0.25">
      <c r="A32" s="292"/>
      <c r="B32" s="293"/>
      <c r="C32" s="294" t="s">
        <v>69</v>
      </c>
      <c r="D32" s="295"/>
      <c r="E32" s="34"/>
      <c r="F32" s="127">
        <v>90</v>
      </c>
      <c r="G32" s="210">
        <v>90</v>
      </c>
    </row>
    <row r="33" spans="1:7" s="13" customFormat="1" x14ac:dyDescent="0.25">
      <c r="A33" s="292"/>
      <c r="B33" s="293"/>
      <c r="C33" s="296" t="s">
        <v>70</v>
      </c>
      <c r="D33" s="297"/>
      <c r="E33" s="34"/>
      <c r="F33" s="127">
        <v>78</v>
      </c>
      <c r="G33" s="210">
        <v>78</v>
      </c>
    </row>
    <row r="34" spans="1:7" s="13" customFormat="1" ht="15.6" customHeight="1" thickBot="1" x14ac:dyDescent="0.3">
      <c r="A34" s="285"/>
      <c r="B34" s="287"/>
      <c r="C34" s="282" t="s">
        <v>111</v>
      </c>
      <c r="D34" s="283"/>
      <c r="E34" s="34"/>
      <c r="F34" s="135">
        <v>144.19999999999999</v>
      </c>
      <c r="G34" s="217">
        <v>144.19999999999999</v>
      </c>
    </row>
    <row r="35" spans="1:7" s="13" customFormat="1" ht="15.95" customHeight="1" thickBot="1" x14ac:dyDescent="0.3">
      <c r="A35" s="50" t="s">
        <v>229</v>
      </c>
      <c r="B35" s="30" t="s">
        <v>228</v>
      </c>
      <c r="C35" s="298"/>
      <c r="D35" s="299"/>
      <c r="E35" s="35"/>
      <c r="F35" s="133"/>
      <c r="G35" s="220"/>
    </row>
    <row r="36" spans="1:7" s="13" customFormat="1" ht="15.6" customHeight="1" x14ac:dyDescent="0.25">
      <c r="A36" s="284" t="s">
        <v>11</v>
      </c>
      <c r="B36" s="286"/>
      <c r="C36" s="288" t="s">
        <v>24</v>
      </c>
      <c r="D36" s="289"/>
      <c r="E36" s="34"/>
      <c r="F36" s="134">
        <v>8000</v>
      </c>
      <c r="G36" s="218">
        <v>8000</v>
      </c>
    </row>
    <row r="37" spans="1:7" s="13" customFormat="1" ht="15.6" customHeight="1" thickBot="1" x14ac:dyDescent="0.3">
      <c r="A37" s="285"/>
      <c r="B37" s="287"/>
      <c r="C37" s="282" t="s">
        <v>22</v>
      </c>
      <c r="D37" s="283"/>
      <c r="E37" s="34"/>
      <c r="F37" s="135">
        <v>8000</v>
      </c>
      <c r="G37" s="217">
        <v>8000</v>
      </c>
    </row>
    <row r="38" spans="1:7" s="13" customFormat="1" ht="15" customHeight="1" x14ac:dyDescent="0.25">
      <c r="A38" s="284" t="s">
        <v>16</v>
      </c>
      <c r="B38" s="286"/>
      <c r="C38" s="288" t="s">
        <v>24</v>
      </c>
      <c r="D38" s="289"/>
      <c r="E38" s="34"/>
      <c r="F38" s="134">
        <v>17500</v>
      </c>
      <c r="G38" s="218">
        <v>17500</v>
      </c>
    </row>
    <row r="39" spans="1:7" s="13" customFormat="1" ht="15.6" customHeight="1" thickBot="1" x14ac:dyDescent="0.3">
      <c r="A39" s="285"/>
      <c r="B39" s="287"/>
      <c r="C39" s="290" t="s">
        <v>23</v>
      </c>
      <c r="D39" s="291"/>
      <c r="E39" s="34"/>
      <c r="F39" s="135">
        <v>17500</v>
      </c>
      <c r="G39" s="217">
        <v>17500</v>
      </c>
    </row>
    <row r="40" spans="1:7" s="13" customFormat="1" ht="15.6" customHeight="1" thickBot="1" x14ac:dyDescent="0.3">
      <c r="A40" s="50" t="s">
        <v>52</v>
      </c>
      <c r="B40" s="30" t="s">
        <v>53</v>
      </c>
      <c r="C40" s="298"/>
      <c r="D40" s="299"/>
      <c r="E40" s="35"/>
      <c r="F40" s="133"/>
      <c r="G40" s="220"/>
    </row>
    <row r="41" spans="1:7" s="13" customFormat="1" x14ac:dyDescent="0.25">
      <c r="A41" s="284" t="s">
        <v>224</v>
      </c>
      <c r="B41" s="286" t="s">
        <v>227</v>
      </c>
      <c r="C41" s="288" t="s">
        <v>226</v>
      </c>
      <c r="D41" s="289"/>
      <c r="E41" s="34"/>
      <c r="F41" s="134" t="s">
        <v>318</v>
      </c>
      <c r="G41" s="218" t="s">
        <v>318</v>
      </c>
    </row>
    <row r="42" spans="1:7" s="13" customFormat="1" ht="14.45" customHeight="1" x14ac:dyDescent="0.25">
      <c r="A42" s="292"/>
      <c r="B42" s="293"/>
      <c r="C42" s="294" t="s">
        <v>225</v>
      </c>
      <c r="D42" s="295"/>
      <c r="E42" s="34"/>
      <c r="F42" s="127" t="s">
        <v>319</v>
      </c>
      <c r="G42" s="210" t="s">
        <v>319</v>
      </c>
    </row>
    <row r="43" spans="1:7" s="13" customFormat="1" ht="80.45" customHeight="1" thickBot="1" x14ac:dyDescent="0.3">
      <c r="A43" s="285"/>
      <c r="B43" s="293"/>
      <c r="C43" s="290"/>
      <c r="D43" s="291"/>
      <c r="E43" s="34"/>
      <c r="F43" s="136"/>
      <c r="G43" s="227"/>
    </row>
    <row r="44" spans="1:7" s="13" customFormat="1" ht="28.5" customHeight="1" thickBot="1" x14ac:dyDescent="0.3">
      <c r="A44" s="50" t="s">
        <v>224</v>
      </c>
      <c r="B44" s="30" t="s">
        <v>223</v>
      </c>
      <c r="C44" s="298"/>
      <c r="D44" s="299"/>
      <c r="E44" s="35"/>
      <c r="F44" s="133"/>
      <c r="G44" s="220"/>
    </row>
    <row r="45" spans="1:7" s="13" customFormat="1" ht="13.5" thickBot="1" x14ac:dyDescent="0.3">
      <c r="A45" s="308" t="s">
        <v>12</v>
      </c>
      <c r="B45" s="309" t="s">
        <v>142</v>
      </c>
      <c r="C45" s="288" t="s">
        <v>174</v>
      </c>
      <c r="D45" s="289"/>
      <c r="E45" s="34"/>
      <c r="F45" s="134" t="s">
        <v>278</v>
      </c>
      <c r="G45" s="218" t="s">
        <v>278</v>
      </c>
    </row>
    <row r="46" spans="1:7" s="13" customFormat="1" ht="13.5" thickBot="1" x14ac:dyDescent="0.3">
      <c r="A46" s="308"/>
      <c r="B46" s="309"/>
      <c r="C46" s="294" t="s">
        <v>175</v>
      </c>
      <c r="D46" s="295"/>
      <c r="E46" s="34"/>
      <c r="F46" s="127">
        <v>5677</v>
      </c>
      <c r="G46" s="210">
        <v>5677</v>
      </c>
    </row>
    <row r="47" spans="1:7" s="13" customFormat="1" ht="13.5" thickBot="1" x14ac:dyDescent="0.3">
      <c r="A47" s="308"/>
      <c r="B47" s="309"/>
      <c r="C47" s="294" t="s">
        <v>176</v>
      </c>
      <c r="D47" s="295"/>
      <c r="E47" s="34"/>
      <c r="F47" s="126" t="s">
        <v>278</v>
      </c>
      <c r="G47" s="216" t="s">
        <v>278</v>
      </c>
    </row>
    <row r="48" spans="1:7" s="13" customFormat="1" ht="13.5" thickBot="1" x14ac:dyDescent="0.3">
      <c r="A48" s="308"/>
      <c r="B48" s="309"/>
      <c r="C48" s="294" t="s">
        <v>177</v>
      </c>
      <c r="D48" s="295"/>
      <c r="E48" s="34"/>
      <c r="F48" s="127">
        <v>5355</v>
      </c>
      <c r="G48" s="210">
        <v>5355</v>
      </c>
    </row>
    <row r="49" spans="1:7" s="13" customFormat="1" ht="13.5" thickBot="1" x14ac:dyDescent="0.3">
      <c r="A49" s="308"/>
      <c r="B49" s="309"/>
      <c r="C49" s="294" t="s">
        <v>112</v>
      </c>
      <c r="D49" s="295"/>
      <c r="E49" s="34"/>
      <c r="F49" s="127">
        <v>7372115809</v>
      </c>
      <c r="G49" s="210">
        <v>7372115809</v>
      </c>
    </row>
    <row r="50" spans="1:7" s="13" customFormat="1" ht="13.5" thickBot="1" x14ac:dyDescent="0.3">
      <c r="A50" s="308"/>
      <c r="B50" s="309"/>
      <c r="C50" s="294" t="s">
        <v>113</v>
      </c>
      <c r="D50" s="295"/>
      <c r="E50" s="34"/>
      <c r="F50" s="127" t="s">
        <v>320</v>
      </c>
      <c r="G50" s="210" t="s">
        <v>320</v>
      </c>
    </row>
    <row r="51" spans="1:7" s="13" customFormat="1" ht="13.5" thickBot="1" x14ac:dyDescent="0.3">
      <c r="A51" s="308"/>
      <c r="B51" s="309"/>
      <c r="C51" s="296" t="s">
        <v>114</v>
      </c>
      <c r="D51" s="297"/>
      <c r="E51" s="34"/>
      <c r="F51" s="127">
        <v>7372115415</v>
      </c>
      <c r="G51" s="210">
        <v>7372115415</v>
      </c>
    </row>
    <row r="52" spans="1:7" s="13" customFormat="1" ht="14.45" customHeight="1" thickBot="1" x14ac:dyDescent="0.3">
      <c r="A52" s="308"/>
      <c r="B52" s="309"/>
      <c r="C52" s="282" t="s">
        <v>115</v>
      </c>
      <c r="D52" s="283"/>
      <c r="E52" s="34"/>
      <c r="F52" s="135" t="s">
        <v>320</v>
      </c>
      <c r="G52" s="210" t="s">
        <v>320</v>
      </c>
    </row>
    <row r="53" spans="1:7" s="13" customFormat="1" ht="15" customHeight="1" x14ac:dyDescent="0.25">
      <c r="A53" s="284" t="s">
        <v>10</v>
      </c>
      <c r="B53" s="286" t="s">
        <v>222</v>
      </c>
      <c r="C53" s="288" t="s">
        <v>116</v>
      </c>
      <c r="D53" s="289"/>
      <c r="E53" s="34"/>
      <c r="F53" s="134">
        <v>6</v>
      </c>
      <c r="G53" s="218">
        <v>6</v>
      </c>
    </row>
    <row r="54" spans="1:7" s="13" customFormat="1" x14ac:dyDescent="0.25">
      <c r="A54" s="292"/>
      <c r="B54" s="293"/>
      <c r="C54" s="294" t="s">
        <v>117</v>
      </c>
      <c r="D54" s="295"/>
      <c r="E54" s="34"/>
      <c r="F54" s="127" t="s">
        <v>277</v>
      </c>
      <c r="G54" s="210" t="s">
        <v>277</v>
      </c>
    </row>
    <row r="55" spans="1:7" s="13" customFormat="1" ht="14.45" customHeight="1" thickBot="1" x14ac:dyDescent="0.3">
      <c r="A55" s="292"/>
      <c r="B55" s="293"/>
      <c r="C55" s="290" t="s">
        <v>71</v>
      </c>
      <c r="D55" s="291"/>
      <c r="E55" s="34"/>
      <c r="F55" s="136" t="s">
        <v>321</v>
      </c>
      <c r="G55" s="219" t="s">
        <v>321</v>
      </c>
    </row>
    <row r="56" spans="1:7" s="13" customFormat="1" ht="77.099999999999994" customHeight="1" thickBot="1" x14ac:dyDescent="0.3">
      <c r="A56" s="51" t="s">
        <v>9</v>
      </c>
      <c r="B56" s="28" t="s">
        <v>276</v>
      </c>
      <c r="C56" s="296"/>
      <c r="D56" s="297"/>
      <c r="E56" s="34"/>
      <c r="F56" s="134"/>
      <c r="G56" s="218"/>
    </row>
    <row r="57" spans="1:7" s="13" customFormat="1" ht="28.5" customHeight="1" thickBot="1" x14ac:dyDescent="0.3">
      <c r="A57" s="51" t="s">
        <v>275</v>
      </c>
      <c r="B57" s="28" t="s">
        <v>274</v>
      </c>
      <c r="C57" s="298"/>
      <c r="D57" s="299"/>
      <c r="E57" s="35"/>
      <c r="F57" s="137"/>
      <c r="G57" s="220"/>
    </row>
    <row r="58" spans="1:7" s="13" customFormat="1" ht="25.5" x14ac:dyDescent="0.25">
      <c r="A58" s="284" t="s">
        <v>25</v>
      </c>
      <c r="B58" s="286" t="s">
        <v>93</v>
      </c>
      <c r="C58" s="288" t="s">
        <v>72</v>
      </c>
      <c r="D58" s="289"/>
      <c r="E58" s="34"/>
      <c r="F58" s="134" t="s">
        <v>322</v>
      </c>
      <c r="G58" s="218" t="s">
        <v>322</v>
      </c>
    </row>
    <row r="59" spans="1:7" s="13" customFormat="1" ht="54" customHeight="1" thickBot="1" x14ac:dyDescent="0.3">
      <c r="A59" s="285"/>
      <c r="B59" s="287"/>
      <c r="C59" s="282" t="s">
        <v>73</v>
      </c>
      <c r="D59" s="283"/>
      <c r="E59" s="34"/>
      <c r="F59" s="135">
        <v>240</v>
      </c>
      <c r="G59" s="217">
        <v>240</v>
      </c>
    </row>
    <row r="60" spans="1:7" s="13" customFormat="1" x14ac:dyDescent="0.25">
      <c r="A60" s="284" t="s">
        <v>26</v>
      </c>
      <c r="B60" s="286" t="s">
        <v>273</v>
      </c>
      <c r="C60" s="288" t="s">
        <v>74</v>
      </c>
      <c r="D60" s="289"/>
      <c r="E60" s="34"/>
      <c r="F60" s="134" t="s">
        <v>272</v>
      </c>
      <c r="G60" s="218" t="s">
        <v>272</v>
      </c>
    </row>
    <row r="61" spans="1:7" s="13" customFormat="1" x14ac:dyDescent="0.25">
      <c r="A61" s="292"/>
      <c r="B61" s="293"/>
      <c r="C61" s="294" t="s">
        <v>75</v>
      </c>
      <c r="D61" s="295"/>
      <c r="E61" s="34"/>
      <c r="F61" s="127">
        <v>3</v>
      </c>
      <c r="G61" s="210">
        <v>3</v>
      </c>
    </row>
    <row r="62" spans="1:7" s="13" customFormat="1" ht="32.25" customHeight="1" thickBot="1" x14ac:dyDescent="0.3">
      <c r="A62" s="285"/>
      <c r="B62" s="287"/>
      <c r="C62" s="282" t="s">
        <v>271</v>
      </c>
      <c r="D62" s="283"/>
      <c r="E62" s="34"/>
      <c r="F62" s="135">
        <v>2850</v>
      </c>
      <c r="G62" s="217">
        <v>2850</v>
      </c>
    </row>
    <row r="63" spans="1:7" s="13" customFormat="1" ht="13.5" thickBot="1" x14ac:dyDescent="0.3">
      <c r="A63" s="50" t="s">
        <v>44</v>
      </c>
      <c r="B63" s="30" t="s">
        <v>45</v>
      </c>
      <c r="C63" s="298"/>
      <c r="D63" s="299"/>
      <c r="E63" s="35"/>
      <c r="F63" s="137"/>
      <c r="G63" s="228"/>
    </row>
    <row r="64" spans="1:7" s="13" customFormat="1" ht="28.5" customHeight="1" thickBot="1" x14ac:dyDescent="0.3">
      <c r="A64" s="50" t="s">
        <v>44</v>
      </c>
      <c r="B64" s="30" t="s">
        <v>63</v>
      </c>
      <c r="C64" s="298"/>
      <c r="D64" s="299"/>
      <c r="E64" s="35"/>
      <c r="F64" s="137"/>
      <c r="G64" s="228"/>
    </row>
    <row r="65" spans="1:7" s="13" customFormat="1" ht="26.25" thickBot="1" x14ac:dyDescent="0.3">
      <c r="A65" s="50" t="s">
        <v>44</v>
      </c>
      <c r="B65" s="30" t="s">
        <v>64</v>
      </c>
      <c r="C65" s="298"/>
      <c r="D65" s="299"/>
      <c r="E65" s="35"/>
      <c r="F65" s="137"/>
      <c r="G65" s="228"/>
    </row>
    <row r="66" spans="1:7" s="13" customFormat="1" ht="26.25" thickBot="1" x14ac:dyDescent="0.3">
      <c r="A66" s="50" t="s">
        <v>50</v>
      </c>
      <c r="B66" s="30" t="s">
        <v>221</v>
      </c>
      <c r="C66" s="298"/>
      <c r="D66" s="299"/>
      <c r="E66" s="35"/>
      <c r="F66" s="137"/>
      <c r="G66" s="228"/>
    </row>
    <row r="67" spans="1:7" s="13" customFormat="1" ht="15" customHeight="1" thickBot="1" x14ac:dyDescent="0.3">
      <c r="A67" s="50" t="s">
        <v>27</v>
      </c>
      <c r="B67" s="30" t="s">
        <v>220</v>
      </c>
      <c r="C67" s="310" t="s">
        <v>77</v>
      </c>
      <c r="D67" s="311"/>
      <c r="E67" s="34"/>
      <c r="F67" s="133" t="s">
        <v>270</v>
      </c>
      <c r="G67" s="220" t="s">
        <v>269</v>
      </c>
    </row>
    <row r="68" spans="1:7" s="13" customFormat="1" ht="51.75" thickBot="1" x14ac:dyDescent="0.3">
      <c r="A68" s="50" t="s">
        <v>219</v>
      </c>
      <c r="B68" s="30" t="s">
        <v>218</v>
      </c>
      <c r="C68" s="310"/>
      <c r="D68" s="311"/>
      <c r="E68" s="34"/>
      <c r="F68" s="133"/>
      <c r="G68" s="228"/>
    </row>
    <row r="69" spans="1:7" s="13" customFormat="1" ht="15" customHeight="1" x14ac:dyDescent="0.25">
      <c r="A69" s="284" t="s">
        <v>28</v>
      </c>
      <c r="B69" s="348" t="s">
        <v>268</v>
      </c>
      <c r="C69" s="350" t="s">
        <v>267</v>
      </c>
      <c r="D69" s="289"/>
      <c r="E69" s="34"/>
      <c r="F69" s="134">
        <v>40</v>
      </c>
      <c r="G69" s="218">
        <v>60</v>
      </c>
    </row>
    <row r="70" spans="1:7" s="13" customFormat="1" ht="53.45" customHeight="1" thickBot="1" x14ac:dyDescent="0.3">
      <c r="A70" s="285"/>
      <c r="B70" s="349"/>
      <c r="C70" s="351" t="s">
        <v>266</v>
      </c>
      <c r="D70" s="283"/>
      <c r="E70" s="34"/>
      <c r="F70" s="135" t="s">
        <v>265</v>
      </c>
      <c r="G70" s="217" t="s">
        <v>265</v>
      </c>
    </row>
    <row r="71" spans="1:7" s="13" customFormat="1" ht="39" thickBot="1" x14ac:dyDescent="0.3">
      <c r="A71" s="50" t="s">
        <v>51</v>
      </c>
      <c r="B71" s="30" t="s">
        <v>217</v>
      </c>
      <c r="C71" s="298"/>
      <c r="D71" s="299"/>
      <c r="E71" s="35"/>
      <c r="F71" s="133"/>
      <c r="G71" s="220"/>
    </row>
    <row r="72" spans="1:7" s="13" customFormat="1" ht="39" thickBot="1" x14ac:dyDescent="0.3">
      <c r="A72" s="50" t="s">
        <v>54</v>
      </c>
      <c r="B72" s="30" t="s">
        <v>80</v>
      </c>
      <c r="C72" s="298"/>
      <c r="D72" s="299"/>
      <c r="E72" s="35"/>
      <c r="F72" s="133"/>
      <c r="G72" s="220"/>
    </row>
    <row r="73" spans="1:7" s="13" customFormat="1" ht="77.099999999999994" customHeight="1" thickBot="1" x14ac:dyDescent="0.3">
      <c r="A73" s="50" t="s">
        <v>29</v>
      </c>
      <c r="B73" s="30" t="s">
        <v>216</v>
      </c>
      <c r="C73" s="298"/>
      <c r="D73" s="299"/>
      <c r="E73" s="35"/>
      <c r="F73" s="133"/>
      <c r="G73" s="220"/>
    </row>
    <row r="74" spans="1:7" s="13" customFormat="1" ht="53.45" customHeight="1" thickBot="1" x14ac:dyDescent="0.3">
      <c r="A74" s="50" t="s">
        <v>31</v>
      </c>
      <c r="B74" s="30" t="s">
        <v>215</v>
      </c>
      <c r="C74" s="310" t="s">
        <v>30</v>
      </c>
      <c r="D74" s="311"/>
      <c r="E74" s="34"/>
      <c r="F74" s="133" t="s">
        <v>264</v>
      </c>
      <c r="G74" s="220" t="s">
        <v>264</v>
      </c>
    </row>
    <row r="75" spans="1:7" s="13" customFormat="1" ht="26.25" thickBot="1" x14ac:dyDescent="0.3">
      <c r="A75" s="50" t="s">
        <v>55</v>
      </c>
      <c r="B75" s="30" t="s">
        <v>95</v>
      </c>
      <c r="C75" s="298"/>
      <c r="D75" s="299"/>
      <c r="E75" s="35"/>
      <c r="F75" s="133"/>
      <c r="G75" s="220"/>
    </row>
    <row r="76" spans="1:7" s="13" customFormat="1" ht="26.25" thickBot="1" x14ac:dyDescent="0.3">
      <c r="A76" s="50" t="s">
        <v>32</v>
      </c>
      <c r="B76" s="30" t="s">
        <v>96</v>
      </c>
      <c r="C76" s="310" t="s">
        <v>30</v>
      </c>
      <c r="D76" s="311"/>
      <c r="E76" s="34"/>
      <c r="F76" s="133" t="s">
        <v>323</v>
      </c>
      <c r="G76" s="220" t="s">
        <v>323</v>
      </c>
    </row>
    <row r="77" spans="1:7" s="13" customFormat="1" ht="39" thickBot="1" x14ac:dyDescent="0.3">
      <c r="A77" s="50" t="s">
        <v>56</v>
      </c>
      <c r="B77" s="30" t="s">
        <v>167</v>
      </c>
      <c r="C77" s="298"/>
      <c r="D77" s="299"/>
      <c r="E77" s="35"/>
      <c r="F77" s="133"/>
      <c r="G77" s="220"/>
    </row>
    <row r="78" spans="1:7" s="13" customFormat="1" ht="26.25" thickBot="1" x14ac:dyDescent="0.3">
      <c r="A78" s="50" t="s">
        <v>48</v>
      </c>
      <c r="B78" s="30" t="s">
        <v>47</v>
      </c>
      <c r="C78" s="298"/>
      <c r="D78" s="299"/>
      <c r="E78" s="35"/>
      <c r="F78" s="133"/>
      <c r="G78" s="220"/>
    </row>
    <row r="79" spans="1:7" s="13" customFormat="1" ht="26.25" thickBot="1" x14ac:dyDescent="0.3">
      <c r="A79" s="50" t="s">
        <v>49</v>
      </c>
      <c r="B79" s="30" t="s">
        <v>103</v>
      </c>
      <c r="C79" s="298"/>
      <c r="D79" s="299"/>
      <c r="E79" s="35"/>
      <c r="F79" s="133"/>
      <c r="G79" s="220"/>
    </row>
    <row r="80" spans="1:7" s="13" customFormat="1" ht="26.25" thickBot="1" x14ac:dyDescent="0.3">
      <c r="A80" s="50" t="s">
        <v>46</v>
      </c>
      <c r="B80" s="30" t="s">
        <v>81</v>
      </c>
      <c r="C80" s="298"/>
      <c r="D80" s="299"/>
      <c r="E80" s="35"/>
      <c r="F80" s="133"/>
      <c r="G80" s="220"/>
    </row>
    <row r="81" spans="1:7" ht="13.5" thickBot="1" x14ac:dyDescent="0.25">
      <c r="G81" s="110"/>
    </row>
    <row r="82" spans="1:7" s="17" customFormat="1" ht="18" customHeight="1" thickBot="1" x14ac:dyDescent="0.3">
      <c r="A82" s="303" t="s">
        <v>168</v>
      </c>
      <c r="B82" s="304"/>
      <c r="C82" s="304"/>
      <c r="D82" s="305"/>
      <c r="E82" s="38"/>
      <c r="F82" s="113" t="s">
        <v>262</v>
      </c>
      <c r="G82" s="113" t="s">
        <v>262</v>
      </c>
    </row>
    <row r="83" spans="1:7" s="3" customFormat="1" ht="15" customHeight="1" thickBot="1" x14ac:dyDescent="0.3">
      <c r="A83" s="312" t="s">
        <v>169</v>
      </c>
      <c r="B83" s="313"/>
      <c r="C83" s="313"/>
      <c r="D83" s="314"/>
      <c r="E83" s="39"/>
      <c r="F83" s="97" t="s">
        <v>19</v>
      </c>
      <c r="G83" s="97" t="s">
        <v>261</v>
      </c>
    </row>
    <row r="84" spans="1:7" s="13" customFormat="1" x14ac:dyDescent="0.25">
      <c r="A84" s="315" t="s">
        <v>83</v>
      </c>
      <c r="B84" s="316"/>
      <c r="C84" s="316"/>
      <c r="D84" s="317"/>
      <c r="E84" s="35"/>
      <c r="F84" s="138">
        <f>-500*('PPI Adj'!D6)</f>
        <v>-583.5</v>
      </c>
      <c r="G84" s="229">
        <f>-500*('PPI Adj'!D6)</f>
        <v>-583.5</v>
      </c>
    </row>
    <row r="85" spans="1:7" s="13" customFormat="1" x14ac:dyDescent="0.25">
      <c r="A85" s="318" t="s">
        <v>34</v>
      </c>
      <c r="B85" s="319"/>
      <c r="C85" s="319"/>
      <c r="D85" s="320"/>
      <c r="E85" s="34"/>
      <c r="F85" s="139">
        <f>361*('PPI Adj'!D6)</f>
        <v>421.28700000000003</v>
      </c>
      <c r="G85" s="230">
        <f>361*('PPI Adj'!D6)</f>
        <v>421.28700000000003</v>
      </c>
    </row>
    <row r="86" spans="1:7" s="13" customFormat="1" x14ac:dyDescent="0.25">
      <c r="A86" s="318" t="s">
        <v>35</v>
      </c>
      <c r="B86" s="319"/>
      <c r="C86" s="319"/>
      <c r="D86" s="320"/>
      <c r="E86" s="35"/>
      <c r="F86" s="139">
        <f>500*('PPI Adj'!D6)</f>
        <v>583.5</v>
      </c>
      <c r="G86" s="230">
        <f>500*('PPI Adj'!D6)</f>
        <v>583.5</v>
      </c>
    </row>
    <row r="87" spans="1:7" s="13" customFormat="1" x14ac:dyDescent="0.25">
      <c r="A87" s="318" t="s">
        <v>36</v>
      </c>
      <c r="B87" s="319"/>
      <c r="C87" s="319"/>
      <c r="D87" s="320"/>
      <c r="E87" s="34"/>
      <c r="F87" s="139" t="s">
        <v>188</v>
      </c>
      <c r="G87" s="230" t="s">
        <v>188</v>
      </c>
    </row>
    <row r="88" spans="1:7" s="13" customFormat="1" x14ac:dyDescent="0.25">
      <c r="A88" s="318" t="s">
        <v>60</v>
      </c>
      <c r="B88" s="319"/>
      <c r="C88" s="319"/>
      <c r="D88" s="320"/>
      <c r="E88" s="34"/>
      <c r="F88" s="139">
        <f>250*('PPI Adj'!D6)</f>
        <v>291.75</v>
      </c>
      <c r="G88" s="187">
        <f>250*('PPI Adj'!D6)</f>
        <v>291.75</v>
      </c>
    </row>
    <row r="89" spans="1:7" s="13" customFormat="1" x14ac:dyDescent="0.25">
      <c r="A89" s="318" t="s">
        <v>61</v>
      </c>
      <c r="B89" s="319"/>
      <c r="C89" s="319"/>
      <c r="D89" s="320"/>
      <c r="E89" s="34"/>
      <c r="F89" s="139" t="s">
        <v>188</v>
      </c>
      <c r="G89" s="139" t="s">
        <v>188</v>
      </c>
    </row>
    <row r="90" spans="1:7" s="13" customFormat="1" x14ac:dyDescent="0.25">
      <c r="A90" s="318" t="s">
        <v>86</v>
      </c>
      <c r="B90" s="319"/>
      <c r="C90" s="319"/>
      <c r="D90" s="320"/>
      <c r="E90" s="34"/>
      <c r="F90" s="139">
        <f>300*('PPI Adj'!D6)</f>
        <v>350.1</v>
      </c>
      <c r="G90" s="139">
        <f>300*('PPI Adj'!D6)</f>
        <v>350.1</v>
      </c>
    </row>
    <row r="91" spans="1:7" x14ac:dyDescent="0.2">
      <c r="A91" s="318" t="s">
        <v>85</v>
      </c>
      <c r="B91" s="319"/>
      <c r="C91" s="319"/>
      <c r="D91" s="320"/>
      <c r="E91" s="34"/>
      <c r="F91" s="139" t="s">
        <v>182</v>
      </c>
      <c r="G91" s="139" t="s">
        <v>182</v>
      </c>
    </row>
    <row r="92" spans="1:7" x14ac:dyDescent="0.2">
      <c r="A92" s="318" t="s">
        <v>13</v>
      </c>
      <c r="B92" s="319"/>
      <c r="C92" s="319"/>
      <c r="D92" s="320"/>
      <c r="E92" s="34"/>
      <c r="F92" s="139">
        <f>8605*('PPI Adj'!D6)</f>
        <v>10042.035</v>
      </c>
      <c r="G92" s="139">
        <f>8605*('PPI Adj'!D6)</f>
        <v>10042.035</v>
      </c>
    </row>
    <row r="93" spans="1:7" x14ac:dyDescent="0.2">
      <c r="A93" s="318" t="s">
        <v>37</v>
      </c>
      <c r="B93" s="319"/>
      <c r="C93" s="319"/>
      <c r="D93" s="320"/>
      <c r="E93" s="35"/>
      <c r="F93" s="139" t="s">
        <v>188</v>
      </c>
      <c r="G93" s="139" t="s">
        <v>188</v>
      </c>
    </row>
    <row r="94" spans="1:7" x14ac:dyDescent="0.2">
      <c r="A94" s="318" t="s">
        <v>38</v>
      </c>
      <c r="B94" s="319"/>
      <c r="C94" s="319"/>
      <c r="D94" s="320"/>
      <c r="E94" s="35"/>
      <c r="F94" s="139">
        <f>790*('PPI Adj'!D6)</f>
        <v>921.93000000000006</v>
      </c>
      <c r="G94" s="139">
        <f>790*('PPI Adj'!D6)</f>
        <v>921.93000000000006</v>
      </c>
    </row>
    <row r="95" spans="1:7" x14ac:dyDescent="0.2">
      <c r="A95" s="318" t="s">
        <v>206</v>
      </c>
      <c r="B95" s="319"/>
      <c r="C95" s="319"/>
      <c r="D95" s="320"/>
      <c r="E95" s="35"/>
      <c r="F95" s="139" t="s">
        <v>188</v>
      </c>
      <c r="G95" s="139" t="s">
        <v>188</v>
      </c>
    </row>
    <row r="96" spans="1:7" x14ac:dyDescent="0.2">
      <c r="A96" s="318" t="s">
        <v>39</v>
      </c>
      <c r="B96" s="319"/>
      <c r="C96" s="319"/>
      <c r="D96" s="320"/>
      <c r="E96" s="34"/>
      <c r="F96" s="139">
        <f>48*('PPI Adj'!D6)</f>
        <v>56.016000000000005</v>
      </c>
      <c r="G96" s="139">
        <f>48*('PPI Adj'!D6)</f>
        <v>56.016000000000005</v>
      </c>
    </row>
    <row r="97" spans="1:7" x14ac:dyDescent="0.2">
      <c r="A97" s="318" t="s">
        <v>88</v>
      </c>
      <c r="B97" s="319"/>
      <c r="C97" s="319"/>
      <c r="D97" s="320"/>
      <c r="E97" s="34"/>
      <c r="F97" s="139">
        <f>6902*('PPI Adj'!D6)</f>
        <v>8054.634</v>
      </c>
      <c r="G97" s="139">
        <f>6902*('PPI Adj'!D6)</f>
        <v>8054.634</v>
      </c>
    </row>
    <row r="98" spans="1:7" x14ac:dyDescent="0.2">
      <c r="A98" s="318" t="s">
        <v>40</v>
      </c>
      <c r="B98" s="319"/>
      <c r="C98" s="319"/>
      <c r="D98" s="320"/>
      <c r="E98" s="34"/>
      <c r="F98" s="139">
        <f>593*('PPI Adj'!D6)</f>
        <v>692.03100000000006</v>
      </c>
      <c r="G98" s="139">
        <f>593*('PPI Adj'!D6)</f>
        <v>692.03100000000006</v>
      </c>
    </row>
    <row r="99" spans="1:7" x14ac:dyDescent="0.2">
      <c r="A99" s="318" t="s">
        <v>14</v>
      </c>
      <c r="B99" s="319"/>
      <c r="C99" s="319"/>
      <c r="D99" s="320"/>
      <c r="E99" s="34"/>
      <c r="F99" s="139">
        <f>12300*('PPI Adj'!D6)</f>
        <v>14354.1</v>
      </c>
      <c r="G99" s="139">
        <f>12300*('PPI Adj'!D6)</f>
        <v>14354.1</v>
      </c>
    </row>
    <row r="100" spans="1:7" x14ac:dyDescent="0.2">
      <c r="A100" s="318" t="s">
        <v>91</v>
      </c>
      <c r="B100" s="319"/>
      <c r="C100" s="319"/>
      <c r="D100" s="320"/>
      <c r="E100" s="34"/>
      <c r="F100" s="139">
        <f>3055*('PPI Adj'!D6)</f>
        <v>3565.1849999999999</v>
      </c>
      <c r="G100" s="139">
        <f>3055*('PPI Adj'!D6)</f>
        <v>3565.1849999999999</v>
      </c>
    </row>
    <row r="101" spans="1:7" x14ac:dyDescent="0.2">
      <c r="A101" s="324" t="s">
        <v>324</v>
      </c>
      <c r="B101" s="325"/>
      <c r="C101" s="325"/>
      <c r="D101" s="326"/>
      <c r="E101" s="34"/>
      <c r="F101" s="222">
        <f>-893*('PPI Adj'!D6)</f>
        <v>-1042.1310000000001</v>
      </c>
      <c r="G101" s="222">
        <f>-893*('PPI Adj'!D6)</f>
        <v>-1042.1310000000001</v>
      </c>
    </row>
    <row r="102" spans="1:7" ht="15.6" customHeight="1" thickBot="1" x14ac:dyDescent="0.25">
      <c r="A102" s="321" t="s">
        <v>92</v>
      </c>
      <c r="B102" s="322"/>
      <c r="C102" s="322"/>
      <c r="D102" s="323"/>
      <c r="E102" s="35"/>
      <c r="F102" s="140">
        <f>-946*('PPI Adj'!D6)</f>
        <v>-1103.982</v>
      </c>
      <c r="G102" s="140">
        <f>-946*('PPI Adj'!D6)</f>
        <v>-1103.982</v>
      </c>
    </row>
    <row r="103" spans="1:7" ht="13.5" thickBot="1" x14ac:dyDescent="0.25">
      <c r="G103" s="110"/>
    </row>
    <row r="104" spans="1:7" s="17" customFormat="1" ht="18" customHeight="1" thickBot="1" x14ac:dyDescent="0.3">
      <c r="A104" s="303" t="s">
        <v>166</v>
      </c>
      <c r="B104" s="304"/>
      <c r="C104" s="304"/>
      <c r="D104" s="305"/>
      <c r="E104" s="38"/>
      <c r="F104" s="113" t="s">
        <v>262</v>
      </c>
      <c r="G104" s="113" t="s">
        <v>262</v>
      </c>
    </row>
    <row r="105" spans="1:7" s="3" customFormat="1" ht="15" customHeight="1" thickBot="1" x14ac:dyDescent="0.3">
      <c r="A105" s="52" t="s">
        <v>33</v>
      </c>
      <c r="B105" s="24" t="s">
        <v>7</v>
      </c>
      <c r="C105" s="327" t="s">
        <v>165</v>
      </c>
      <c r="D105" s="328"/>
      <c r="E105" s="39"/>
      <c r="F105" s="97" t="s">
        <v>19</v>
      </c>
      <c r="G105" s="97" t="s">
        <v>261</v>
      </c>
    </row>
    <row r="106" spans="1:7" s="13" customFormat="1" ht="39" thickBot="1" x14ac:dyDescent="0.3">
      <c r="A106" s="53" t="s">
        <v>83</v>
      </c>
      <c r="B106" s="23" t="s">
        <v>146</v>
      </c>
      <c r="C106" s="329"/>
      <c r="D106" s="330"/>
      <c r="E106" s="35"/>
      <c r="F106" s="133"/>
      <c r="G106" s="133"/>
    </row>
    <row r="107" spans="1:7" s="13" customFormat="1" ht="26.25" thickBot="1" x14ac:dyDescent="0.3">
      <c r="A107" s="50" t="s">
        <v>34</v>
      </c>
      <c r="B107" s="30" t="s">
        <v>107</v>
      </c>
      <c r="C107" s="310" t="s">
        <v>30</v>
      </c>
      <c r="D107" s="311"/>
      <c r="E107" s="34"/>
      <c r="F107" s="133" t="s">
        <v>325</v>
      </c>
      <c r="G107" s="133" t="s">
        <v>325</v>
      </c>
    </row>
    <row r="108" spans="1:7" s="13" customFormat="1" ht="51.75" thickBot="1" x14ac:dyDescent="0.3">
      <c r="A108" s="50" t="s">
        <v>35</v>
      </c>
      <c r="B108" s="30" t="s">
        <v>97</v>
      </c>
      <c r="C108" s="298"/>
      <c r="D108" s="299"/>
      <c r="E108" s="35"/>
      <c r="F108" s="133"/>
      <c r="G108" s="133"/>
    </row>
    <row r="109" spans="1:7" s="13" customFormat="1" ht="39" thickBot="1" x14ac:dyDescent="0.3">
      <c r="A109" s="50" t="s">
        <v>36</v>
      </c>
      <c r="B109" s="30" t="s">
        <v>84</v>
      </c>
      <c r="C109" s="310" t="s">
        <v>99</v>
      </c>
      <c r="D109" s="311"/>
      <c r="E109" s="34"/>
      <c r="F109" s="133" t="s">
        <v>326</v>
      </c>
      <c r="G109" s="133" t="s">
        <v>326</v>
      </c>
    </row>
    <row r="110" spans="1:7" s="13" customFormat="1" ht="12.75" customHeight="1" x14ac:dyDescent="0.25">
      <c r="A110" s="284" t="s">
        <v>60</v>
      </c>
      <c r="B110" s="286" t="s">
        <v>133</v>
      </c>
      <c r="C110" s="288" t="s">
        <v>208</v>
      </c>
      <c r="D110" s="289"/>
      <c r="E110" s="34"/>
      <c r="F110" s="134" t="s">
        <v>260</v>
      </c>
      <c r="G110" s="134" t="s">
        <v>259</v>
      </c>
    </row>
    <row r="111" spans="1:7" s="13" customFormat="1" x14ac:dyDescent="0.25">
      <c r="A111" s="292"/>
      <c r="B111" s="293"/>
      <c r="C111" s="294" t="s">
        <v>207</v>
      </c>
      <c r="D111" s="295"/>
      <c r="E111" s="34"/>
      <c r="F111" s="127">
        <v>5512</v>
      </c>
      <c r="G111" s="127">
        <v>5512</v>
      </c>
    </row>
    <row r="112" spans="1:7" s="13" customFormat="1" x14ac:dyDescent="0.25">
      <c r="A112" s="292"/>
      <c r="B112" s="293"/>
      <c r="C112" s="294" t="s">
        <v>114</v>
      </c>
      <c r="D112" s="295"/>
      <c r="E112" s="34"/>
      <c r="F112" s="127">
        <v>7372115810</v>
      </c>
      <c r="G112" s="127">
        <v>7372115810</v>
      </c>
    </row>
    <row r="113" spans="1:7" s="13" customFormat="1" ht="30.75" customHeight="1" thickBot="1" x14ac:dyDescent="0.3">
      <c r="A113" s="285"/>
      <c r="B113" s="287"/>
      <c r="C113" s="282" t="s">
        <v>115</v>
      </c>
      <c r="D113" s="283"/>
      <c r="E113" s="34"/>
      <c r="F113" s="135" t="s">
        <v>327</v>
      </c>
      <c r="G113" s="135" t="s">
        <v>327</v>
      </c>
    </row>
    <row r="114" spans="1:7" s="13" customFormat="1" ht="12.75" customHeight="1" x14ac:dyDescent="0.25">
      <c r="A114" s="284" t="s">
        <v>61</v>
      </c>
      <c r="B114" s="286" t="s">
        <v>211</v>
      </c>
      <c r="C114" s="288" t="s">
        <v>210</v>
      </c>
      <c r="D114" s="289"/>
      <c r="E114" s="34"/>
      <c r="F114" s="134" t="s">
        <v>259</v>
      </c>
      <c r="G114" s="218" t="s">
        <v>259</v>
      </c>
    </row>
    <row r="115" spans="1:7" s="13" customFormat="1" x14ac:dyDescent="0.25">
      <c r="A115" s="292"/>
      <c r="B115" s="293"/>
      <c r="C115" s="294" t="s">
        <v>209</v>
      </c>
      <c r="D115" s="295"/>
      <c r="E115" s="34"/>
      <c r="F115" s="126">
        <v>5677</v>
      </c>
      <c r="G115" s="216">
        <v>5677</v>
      </c>
    </row>
    <row r="116" spans="1:7" s="13" customFormat="1" x14ac:dyDescent="0.25">
      <c r="A116" s="292"/>
      <c r="B116" s="293"/>
      <c r="C116" s="294" t="s">
        <v>208</v>
      </c>
      <c r="D116" s="295"/>
      <c r="E116" s="34"/>
      <c r="F116" s="126" t="s">
        <v>259</v>
      </c>
      <c r="G116" s="216" t="s">
        <v>259</v>
      </c>
    </row>
    <row r="117" spans="1:7" s="13" customFormat="1" x14ac:dyDescent="0.25">
      <c r="A117" s="292"/>
      <c r="B117" s="293"/>
      <c r="C117" s="294" t="s">
        <v>207</v>
      </c>
      <c r="D117" s="295"/>
      <c r="E117" s="34"/>
      <c r="F117" s="127">
        <v>5677</v>
      </c>
      <c r="G117" s="210">
        <v>5677</v>
      </c>
    </row>
    <row r="118" spans="1:7" s="13" customFormat="1" x14ac:dyDescent="0.25">
      <c r="A118" s="292"/>
      <c r="B118" s="293"/>
      <c r="C118" s="294" t="s">
        <v>112</v>
      </c>
      <c r="D118" s="295"/>
      <c r="E118" s="34"/>
      <c r="F118" s="127">
        <v>7372115809</v>
      </c>
      <c r="G118" s="210">
        <v>7372115809</v>
      </c>
    </row>
    <row r="119" spans="1:7" s="13" customFormat="1" x14ac:dyDescent="0.25">
      <c r="A119" s="292"/>
      <c r="B119" s="293"/>
      <c r="C119" s="294" t="s">
        <v>113</v>
      </c>
      <c r="D119" s="295"/>
      <c r="E119" s="34"/>
      <c r="F119" s="126" t="s">
        <v>320</v>
      </c>
      <c r="G119" s="216" t="s">
        <v>320</v>
      </c>
    </row>
    <row r="120" spans="1:7" s="13" customFormat="1" x14ac:dyDescent="0.25">
      <c r="A120" s="292"/>
      <c r="B120" s="293"/>
      <c r="C120" s="294" t="s">
        <v>114</v>
      </c>
      <c r="D120" s="295"/>
      <c r="E120" s="34"/>
      <c r="F120" s="126">
        <v>7372115809</v>
      </c>
      <c r="G120" s="216">
        <v>7372115809</v>
      </c>
    </row>
    <row r="121" spans="1:7" s="13" customFormat="1" ht="14.1" customHeight="1" thickBot="1" x14ac:dyDescent="0.3">
      <c r="A121" s="285"/>
      <c r="B121" s="287"/>
      <c r="C121" s="282" t="s">
        <v>115</v>
      </c>
      <c r="D121" s="283"/>
      <c r="E121" s="34"/>
      <c r="F121" s="135" t="s">
        <v>320</v>
      </c>
      <c r="G121" s="217" t="s">
        <v>320</v>
      </c>
    </row>
    <row r="122" spans="1:7" s="13" customFormat="1" ht="144.94999999999999" customHeight="1" thickBot="1" x14ac:dyDescent="0.3">
      <c r="A122" s="54" t="s">
        <v>86</v>
      </c>
      <c r="B122" s="18" t="s">
        <v>143</v>
      </c>
      <c r="C122" s="310" t="s">
        <v>104</v>
      </c>
      <c r="D122" s="311"/>
      <c r="E122" s="34"/>
      <c r="F122" s="134" t="s">
        <v>328</v>
      </c>
      <c r="G122" s="220" t="s">
        <v>328</v>
      </c>
    </row>
    <row r="123" spans="1:7" ht="170.1" customHeight="1" thickBot="1" x14ac:dyDescent="0.25">
      <c r="A123" s="50" t="s">
        <v>85</v>
      </c>
      <c r="B123" s="14" t="s">
        <v>170</v>
      </c>
      <c r="C123" s="310" t="s">
        <v>104</v>
      </c>
      <c r="D123" s="311"/>
      <c r="E123" s="34"/>
      <c r="F123" s="133" t="s">
        <v>182</v>
      </c>
      <c r="G123" s="220" t="s">
        <v>182</v>
      </c>
    </row>
    <row r="124" spans="1:7" x14ac:dyDescent="0.2">
      <c r="A124" s="284" t="s">
        <v>13</v>
      </c>
      <c r="B124" s="286" t="s">
        <v>98</v>
      </c>
      <c r="C124" s="288" t="s">
        <v>30</v>
      </c>
      <c r="D124" s="289"/>
      <c r="E124" s="34"/>
      <c r="F124" s="134" t="s">
        <v>329</v>
      </c>
      <c r="G124" s="218" t="s">
        <v>329</v>
      </c>
    </row>
    <row r="125" spans="1:7" ht="27.95" customHeight="1" thickBot="1" x14ac:dyDescent="0.25">
      <c r="A125" s="285"/>
      <c r="B125" s="287"/>
      <c r="C125" s="282" t="s">
        <v>109</v>
      </c>
      <c r="D125" s="283"/>
      <c r="E125" s="34"/>
      <c r="F125" s="135" t="s">
        <v>258</v>
      </c>
      <c r="G125" s="217" t="s">
        <v>258</v>
      </c>
    </row>
    <row r="126" spans="1:7" ht="66" customHeight="1" thickBot="1" x14ac:dyDescent="0.25">
      <c r="A126" s="50" t="s">
        <v>37</v>
      </c>
      <c r="B126" s="30" t="s">
        <v>135</v>
      </c>
      <c r="C126" s="298"/>
      <c r="D126" s="299"/>
      <c r="E126" s="35"/>
      <c r="F126" s="133" t="s">
        <v>330</v>
      </c>
      <c r="G126" s="217" t="s">
        <v>330</v>
      </c>
    </row>
    <row r="127" spans="1:7" ht="40.5" customHeight="1" thickBot="1" x14ac:dyDescent="0.25">
      <c r="A127" s="50" t="s">
        <v>38</v>
      </c>
      <c r="B127" s="30" t="s">
        <v>87</v>
      </c>
      <c r="C127" s="298"/>
      <c r="D127" s="299"/>
      <c r="E127" s="35"/>
      <c r="F127" s="133"/>
      <c r="G127" s="220"/>
    </row>
    <row r="128" spans="1:7" ht="14.25" customHeight="1" thickBot="1" x14ac:dyDescent="0.25">
      <c r="A128" s="50" t="s">
        <v>206</v>
      </c>
      <c r="B128" s="30" t="s">
        <v>205</v>
      </c>
      <c r="C128" s="310"/>
      <c r="D128" s="311"/>
      <c r="E128" s="34"/>
      <c r="F128" s="133" t="s">
        <v>188</v>
      </c>
      <c r="G128" s="220" t="s">
        <v>188</v>
      </c>
    </row>
    <row r="129" spans="1:7" ht="27" customHeight="1" thickBot="1" x14ac:dyDescent="0.25">
      <c r="A129" s="50" t="s">
        <v>39</v>
      </c>
      <c r="B129" s="30" t="s">
        <v>106</v>
      </c>
      <c r="C129" s="310" t="s">
        <v>105</v>
      </c>
      <c r="D129" s="311"/>
      <c r="E129" s="34"/>
      <c r="F129" s="133" t="s">
        <v>331</v>
      </c>
      <c r="G129" s="220" t="s">
        <v>331</v>
      </c>
    </row>
    <row r="130" spans="1:7" ht="15" customHeight="1" x14ac:dyDescent="0.2">
      <c r="A130" s="284" t="s">
        <v>88</v>
      </c>
      <c r="B130" s="286" t="s">
        <v>148</v>
      </c>
      <c r="C130" s="288" t="s">
        <v>100</v>
      </c>
      <c r="D130" s="289"/>
      <c r="E130" s="34"/>
      <c r="F130" s="134" t="s">
        <v>257</v>
      </c>
      <c r="G130" s="218" t="s">
        <v>256</v>
      </c>
    </row>
    <row r="131" spans="1:7" ht="108" customHeight="1" thickBot="1" x14ac:dyDescent="0.25">
      <c r="A131" s="285"/>
      <c r="B131" s="287"/>
      <c r="C131" s="282" t="s">
        <v>110</v>
      </c>
      <c r="D131" s="283"/>
      <c r="E131" s="34"/>
      <c r="F131" s="221" t="s">
        <v>332</v>
      </c>
      <c r="G131" s="227" t="s">
        <v>332</v>
      </c>
    </row>
    <row r="132" spans="1:7" ht="26.25" thickBot="1" x14ac:dyDescent="0.25">
      <c r="A132" s="50" t="s">
        <v>40</v>
      </c>
      <c r="B132" s="30" t="s">
        <v>137</v>
      </c>
      <c r="C132" s="310" t="s">
        <v>100</v>
      </c>
      <c r="D132" s="311"/>
      <c r="E132" s="34"/>
      <c r="F132" s="135" t="s">
        <v>333</v>
      </c>
      <c r="G132" s="217" t="s">
        <v>333</v>
      </c>
    </row>
    <row r="133" spans="1:7" ht="54.6" customHeight="1" thickBot="1" x14ac:dyDescent="0.25">
      <c r="A133" s="50" t="s">
        <v>14</v>
      </c>
      <c r="B133" s="30" t="s">
        <v>138</v>
      </c>
      <c r="C133" s="310" t="s">
        <v>139</v>
      </c>
      <c r="D133" s="311"/>
      <c r="E133" s="34"/>
      <c r="F133" s="133" t="s">
        <v>335</v>
      </c>
      <c r="G133" s="220" t="s">
        <v>335</v>
      </c>
    </row>
    <row r="134" spans="1:7" ht="64.5" customHeight="1" thickBot="1" x14ac:dyDescent="0.25">
      <c r="A134" s="50" t="s">
        <v>91</v>
      </c>
      <c r="B134" s="30" t="s">
        <v>144</v>
      </c>
      <c r="C134" s="310" t="s">
        <v>100</v>
      </c>
      <c r="D134" s="311"/>
      <c r="E134" s="34"/>
      <c r="F134" s="133" t="s">
        <v>336</v>
      </c>
      <c r="G134" s="220" t="s">
        <v>336</v>
      </c>
    </row>
    <row r="135" spans="1:7" ht="68.45" customHeight="1" thickBot="1" x14ac:dyDescent="0.25">
      <c r="A135" s="50" t="s">
        <v>92</v>
      </c>
      <c r="B135" s="30" t="s">
        <v>145</v>
      </c>
      <c r="C135" s="298"/>
      <c r="D135" s="299"/>
      <c r="E135" s="35"/>
      <c r="F135" s="133"/>
      <c r="G135" s="220"/>
    </row>
  </sheetData>
  <sheetProtection algorithmName="SHA-512" hashValue="SCpio61okXwkR7OcAnyLachpla/PFdP0gncLP5T1ID07D426pZvccDmuOr+acjhNoEMVufyu8AdrHRhZJ9g8mg==" saltValue="b6pAm0Gl729+5KE7Kr1eGA==" spinCount="100000" sheet="1" objects="1" scenarios="1"/>
  <dataConsolidate/>
  <mergeCells count="154">
    <mergeCell ref="C71:D71"/>
    <mergeCell ref="C72:D72"/>
    <mergeCell ref="C73:D73"/>
    <mergeCell ref="C74:D74"/>
    <mergeCell ref="C75:D75"/>
    <mergeCell ref="C76:D76"/>
    <mergeCell ref="A84:D84"/>
    <mergeCell ref="A85:D85"/>
    <mergeCell ref="C77:D77"/>
    <mergeCell ref="C78:D78"/>
    <mergeCell ref="C79:D79"/>
    <mergeCell ref="C80:D80"/>
    <mergeCell ref="A82:D82"/>
    <mergeCell ref="A98:D98"/>
    <mergeCell ref="A99:D99"/>
    <mergeCell ref="A100:D100"/>
    <mergeCell ref="A101:D101"/>
    <mergeCell ref="C109:D109"/>
    <mergeCell ref="B110:B113"/>
    <mergeCell ref="C110:D110"/>
    <mergeCell ref="A86:D86"/>
    <mergeCell ref="A87:D87"/>
    <mergeCell ref="A88:D88"/>
    <mergeCell ref="A89:D89"/>
    <mergeCell ref="A90:D90"/>
    <mergeCell ref="A91:D91"/>
    <mergeCell ref="C115:D115"/>
    <mergeCell ref="C116:D116"/>
    <mergeCell ref="A110:A113"/>
    <mergeCell ref="A124:A125"/>
    <mergeCell ref="B124:B125"/>
    <mergeCell ref="C124:D124"/>
    <mergeCell ref="C125:D125"/>
    <mergeCell ref="C63:D63"/>
    <mergeCell ref="A83:D83"/>
    <mergeCell ref="C68:D68"/>
    <mergeCell ref="C70:D70"/>
    <mergeCell ref="A102:D102"/>
    <mergeCell ref="C111:D111"/>
    <mergeCell ref="C112:D112"/>
    <mergeCell ref="C113:D113"/>
    <mergeCell ref="C105:D105"/>
    <mergeCell ref="C106:D106"/>
    <mergeCell ref="C107:D107"/>
    <mergeCell ref="A104:D104"/>
    <mergeCell ref="A92:D92"/>
    <mergeCell ref="A93:D93"/>
    <mergeCell ref="A94:D94"/>
    <mergeCell ref="A96:D96"/>
    <mergeCell ref="A97:D97"/>
    <mergeCell ref="C128:D128"/>
    <mergeCell ref="A95:D95"/>
    <mergeCell ref="C135:D135"/>
    <mergeCell ref="C126:D126"/>
    <mergeCell ref="C127:D127"/>
    <mergeCell ref="C129:D129"/>
    <mergeCell ref="A130:A131"/>
    <mergeCell ref="B130:B131"/>
    <mergeCell ref="C130:D130"/>
    <mergeCell ref="C131:D131"/>
    <mergeCell ref="C122:D122"/>
    <mergeCell ref="C117:D117"/>
    <mergeCell ref="C118:D118"/>
    <mergeCell ref="C119:D119"/>
    <mergeCell ref="C132:D132"/>
    <mergeCell ref="C133:D133"/>
    <mergeCell ref="C134:D134"/>
    <mergeCell ref="C120:D120"/>
    <mergeCell ref="C121:D121"/>
    <mergeCell ref="C108:D108"/>
    <mergeCell ref="C123:D123"/>
    <mergeCell ref="A114:A121"/>
    <mergeCell ref="B114:B121"/>
    <mergeCell ref="C114:D114"/>
    <mergeCell ref="C40:D40"/>
    <mergeCell ref="A45:A52"/>
    <mergeCell ref="B45:B52"/>
    <mergeCell ref="C45:D45"/>
    <mergeCell ref="C46:D46"/>
    <mergeCell ref="C47:D47"/>
    <mergeCell ref="C48:D48"/>
    <mergeCell ref="C49:D49"/>
    <mergeCell ref="C50:D50"/>
    <mergeCell ref="C51:D51"/>
    <mergeCell ref="A41:A43"/>
    <mergeCell ref="B41:B43"/>
    <mergeCell ref="C41:D41"/>
    <mergeCell ref="C42:D42"/>
    <mergeCell ref="C43:D43"/>
    <mergeCell ref="C44:D44"/>
    <mergeCell ref="A69:A70"/>
    <mergeCell ref="C52:D52"/>
    <mergeCell ref="A53:A55"/>
    <mergeCell ref="B53:B55"/>
    <mergeCell ref="C53:D53"/>
    <mergeCell ref="C54:D54"/>
    <mergeCell ref="C55:D55"/>
    <mergeCell ref="C56:D56"/>
    <mergeCell ref="A58:A59"/>
    <mergeCell ref="B58:B59"/>
    <mergeCell ref="A60:A62"/>
    <mergeCell ref="B60:B62"/>
    <mergeCell ref="C60:D60"/>
    <mergeCell ref="C61:D61"/>
    <mergeCell ref="C62:D62"/>
    <mergeCell ref="B69:B70"/>
    <mergeCell ref="C57:D57"/>
    <mergeCell ref="C58:D58"/>
    <mergeCell ref="C59:D59"/>
    <mergeCell ref="C64:D64"/>
    <mergeCell ref="C65:D65"/>
    <mergeCell ref="C66:D66"/>
    <mergeCell ref="C67:D67"/>
    <mergeCell ref="C69:D69"/>
    <mergeCell ref="A38:A39"/>
    <mergeCell ref="B38:B39"/>
    <mergeCell ref="C38:D38"/>
    <mergeCell ref="C39:D39"/>
    <mergeCell ref="A30:A34"/>
    <mergeCell ref="B30:B34"/>
    <mergeCell ref="C30:D30"/>
    <mergeCell ref="C31:D31"/>
    <mergeCell ref="C32:D32"/>
    <mergeCell ref="C33:D33"/>
    <mergeCell ref="B22:D22"/>
    <mergeCell ref="A24:D24"/>
    <mergeCell ref="C25:D25"/>
    <mergeCell ref="A36:A37"/>
    <mergeCell ref="B36:B37"/>
    <mergeCell ref="C36:D36"/>
    <mergeCell ref="C37:D37"/>
    <mergeCell ref="C34:D34"/>
    <mergeCell ref="C35:D35"/>
    <mergeCell ref="C26:D26"/>
    <mergeCell ref="A27:A28"/>
    <mergeCell ref="B27:B28"/>
    <mergeCell ref="C27:D27"/>
    <mergeCell ref="C28:D28"/>
    <mergeCell ref="C29:D29"/>
    <mergeCell ref="B21:D21"/>
    <mergeCell ref="B12:D12"/>
    <mergeCell ref="B13:D13"/>
    <mergeCell ref="B14:D14"/>
    <mergeCell ref="B15:D15"/>
    <mergeCell ref="B16:D16"/>
    <mergeCell ref="A3:D3"/>
    <mergeCell ref="A4:D4"/>
    <mergeCell ref="A6:D6"/>
    <mergeCell ref="A19:D19"/>
    <mergeCell ref="B17:D17"/>
    <mergeCell ref="B8:D8"/>
    <mergeCell ref="B9:D9"/>
    <mergeCell ref="B10:D10"/>
    <mergeCell ref="B11:D11"/>
  </mergeCells>
  <conditionalFormatting sqref="C56 C65">
    <cfRule type="expression" dxfId="135" priority="82">
      <formula>#REF!="NO"</formula>
    </cfRule>
  </conditionalFormatting>
  <conditionalFormatting sqref="C26:E40">
    <cfRule type="expression" dxfId="134" priority="71">
      <formula>#REF!="NO"</formula>
    </cfRule>
  </conditionalFormatting>
  <conditionalFormatting sqref="C44:E80">
    <cfRule type="expression" dxfId="133" priority="68">
      <formula>#REF!="NO"</formula>
    </cfRule>
  </conditionalFormatting>
  <conditionalFormatting sqref="C106:F135">
    <cfRule type="expression" dxfId="132" priority="44">
      <formula>#REF!="NO"</formula>
    </cfRule>
  </conditionalFormatting>
  <conditionalFormatting sqref="E41:E43">
    <cfRule type="expression" dxfId="131" priority="70">
      <formula>#REF!="NO"</formula>
    </cfRule>
  </conditionalFormatting>
  <conditionalFormatting sqref="E84:F102">
    <cfRule type="expression" dxfId="130" priority="43">
      <formula>#REF!="NO"</formula>
    </cfRule>
  </conditionalFormatting>
  <conditionalFormatting sqref="F8:F17">
    <cfRule type="expression" dxfId="129" priority="63">
      <formula>#REF!="NO"</formula>
    </cfRule>
  </conditionalFormatting>
  <conditionalFormatting sqref="F26:F80">
    <cfRule type="expression" dxfId="128" priority="47">
      <formula>#REF!="NO"</formula>
    </cfRule>
  </conditionalFormatting>
  <conditionalFormatting sqref="F21:G22">
    <cfRule type="expression" dxfId="127" priority="36">
      <formula>#REF!="NO"</formula>
    </cfRule>
  </conditionalFormatting>
  <conditionalFormatting sqref="G8">
    <cfRule type="expression" dxfId="126" priority="42">
      <formula>$F$2="NO"</formula>
    </cfRule>
  </conditionalFormatting>
  <conditionalFormatting sqref="G9">
    <cfRule type="expression" dxfId="125" priority="40">
      <formula>#REF!="NO"</formula>
    </cfRule>
  </conditionalFormatting>
  <conditionalFormatting sqref="G10:G17 C41:D43">
    <cfRule type="expression" dxfId="124" priority="69">
      <formula>$F$2="NO"</formula>
    </cfRule>
  </conditionalFormatting>
  <conditionalFormatting sqref="G21:G22">
    <cfRule type="expression" dxfId="123" priority="35">
      <formula>$F$2="NO"</formula>
    </cfRule>
  </conditionalFormatting>
  <conditionalFormatting sqref="G26">
    <cfRule type="expression" dxfId="122" priority="23">
      <formula>#REF!="NO"</formula>
    </cfRule>
  </conditionalFormatting>
  <conditionalFormatting sqref="G27:G80">
    <cfRule type="expression" dxfId="121" priority="24">
      <formula>$F$2="NO"</formula>
    </cfRule>
  </conditionalFormatting>
  <conditionalFormatting sqref="G56:G57">
    <cfRule type="expression" dxfId="120" priority="27">
      <formula>#REF!="NO"</formula>
    </cfRule>
  </conditionalFormatting>
  <conditionalFormatting sqref="G65">
    <cfRule type="expression" dxfId="119" priority="33">
      <formula>#REF!="NO"</formula>
    </cfRule>
  </conditionalFormatting>
  <conditionalFormatting sqref="G84:G87">
    <cfRule type="expression" dxfId="118" priority="19">
      <formula>$F$2="NO"</formula>
    </cfRule>
  </conditionalFormatting>
  <conditionalFormatting sqref="G88:G102">
    <cfRule type="expression" dxfId="117" priority="5">
      <formula>#REF!="NO"</formula>
    </cfRule>
  </conditionalFormatting>
  <conditionalFormatting sqref="G106:G135">
    <cfRule type="expression" dxfId="116" priority="1">
      <formula>$F$2="NO"</formula>
    </cfRule>
  </conditionalFormatting>
  <dataValidations count="3">
    <dataValidation type="decimal" allowBlank="1" showInputMessage="1" showErrorMessage="1" error="The Additional Options NYS Discount entered must be greater than 0%, or less than or equal to 100%." sqref="F22:G22" xr:uid="{00000000-0002-0000-0100-000002000000}">
      <formula1>0.01</formula1>
      <formula2>100</formula2>
    </dataValidation>
    <dataValidation type="decimal" allowBlank="1" showInputMessage="1" showErrorMessage="1" error="Invalid Entry - Bidder must enter a value that is greater than $0" sqref="F21:G21" xr:uid="{00000000-0002-0000-0100-000001000000}">
      <formula1>0</formula1>
      <formula2>9E+21</formula2>
    </dataValidation>
    <dataValidation type="decimal" operator="greaterThanOrEqual" allowBlank="1" showInputMessage="1" showErrorMessage="1" error="The Pickup Allowance cannot be a negative number." sqref="F16:G16" xr:uid="{00000000-0002-0000-0100-000000000000}">
      <formula1>0</formula1>
    </dataValidation>
  </dataValidations>
  <pageMargins left="0.25" right="0.25" top="0.5" bottom="0.25" header="0.3" footer="0.3"/>
  <pageSetup scale="81" fitToHeight="0" orientation="landscape" r:id="rId1"/>
  <rowBreaks count="2" manualBreakCount="2">
    <brk id="57" max="6" man="1"/>
    <brk id="75" max="6"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1BBFF-0B86-4198-B187-2386FC41C559}">
  <sheetPr>
    <tabColor theme="5"/>
    <pageSetUpPr autoPageBreaks="0" fitToPage="1"/>
  </sheetPr>
  <dimension ref="A1:H135"/>
  <sheetViews>
    <sheetView showGridLines="0" zoomScaleNormal="100" zoomScaleSheetLayoutView="100" workbookViewId="0">
      <selection activeCell="A3" sqref="A3:D3"/>
    </sheetView>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6" width="21.28515625" style="106" customWidth="1"/>
    <col min="7" max="8" width="21.28515625" style="107" customWidth="1"/>
    <col min="9" max="16384" width="9.140625" style="2"/>
  </cols>
  <sheetData>
    <row r="1" spans="1:8" ht="18" customHeight="1" x14ac:dyDescent="0.2">
      <c r="A1" s="235" t="str">
        <f>'A (Item 2-G)'!$A$1</f>
        <v>GROUP 40524-23254, SCHOOL BUSES (Statewide)                                                             Attachment 1 - Specifications and Pricing (Revised October 15, 2026)</v>
      </c>
      <c r="F1" s="107"/>
    </row>
    <row r="2" spans="1:8" s="25" customFormat="1" ht="18" customHeight="1" thickBot="1" x14ac:dyDescent="0.3">
      <c r="A2" s="144" t="s">
        <v>373</v>
      </c>
      <c r="B2" s="26"/>
      <c r="C2" s="26"/>
      <c r="D2" s="26"/>
      <c r="E2" s="26"/>
      <c r="F2" s="143"/>
      <c r="G2" s="144"/>
      <c r="H2" s="144"/>
    </row>
    <row r="3" spans="1:8" ht="24" thickBot="1" x14ac:dyDescent="0.25">
      <c r="A3" s="352" t="s">
        <v>293</v>
      </c>
      <c r="B3" s="353"/>
      <c r="C3" s="353"/>
      <c r="D3" s="354"/>
      <c r="E3" s="9"/>
      <c r="F3" s="145"/>
    </row>
    <row r="4" spans="1:8" ht="51" customHeight="1" thickBot="1" x14ac:dyDescent="0.25">
      <c r="A4" s="273" t="s">
        <v>292</v>
      </c>
      <c r="B4" s="274"/>
      <c r="C4" s="274"/>
      <c r="D4" s="275"/>
      <c r="E4" s="9"/>
      <c r="F4" s="145"/>
    </row>
    <row r="5" spans="1:8" s="4" customFormat="1" ht="11.25" customHeight="1" thickBot="1" x14ac:dyDescent="0.3">
      <c r="A5" s="57"/>
      <c r="B5" s="57"/>
      <c r="C5" s="57"/>
      <c r="D5" s="57"/>
      <c r="E5" s="57"/>
      <c r="F5" s="123"/>
      <c r="G5" s="114"/>
      <c r="H5" s="114"/>
    </row>
    <row r="6" spans="1:8" s="8" customFormat="1" ht="16.5" customHeight="1" thickBot="1" x14ac:dyDescent="0.25">
      <c r="A6" s="276" t="s">
        <v>151</v>
      </c>
      <c r="B6" s="277"/>
      <c r="C6" s="277"/>
      <c r="D6" s="278"/>
      <c r="E6" s="36"/>
      <c r="F6" s="113" t="s">
        <v>262</v>
      </c>
      <c r="G6" s="113" t="s">
        <v>262</v>
      </c>
      <c r="H6" s="113" t="s">
        <v>262</v>
      </c>
    </row>
    <row r="7" spans="1:8" s="4" customFormat="1" ht="15" customHeight="1" thickBot="1" x14ac:dyDescent="0.3">
      <c r="A7" s="41" t="s">
        <v>6</v>
      </c>
      <c r="B7" s="27" t="s">
        <v>165</v>
      </c>
      <c r="C7" s="32"/>
      <c r="D7" s="40"/>
      <c r="E7" s="37"/>
      <c r="F7" s="97" t="s">
        <v>19</v>
      </c>
      <c r="G7" s="115" t="s">
        <v>261</v>
      </c>
      <c r="H7" s="115" t="s">
        <v>307</v>
      </c>
    </row>
    <row r="8" spans="1:8" ht="39.75" thickTop="1" thickBot="1" x14ac:dyDescent="0.25">
      <c r="A8" s="42" t="s">
        <v>9</v>
      </c>
      <c r="B8" s="267" t="s">
        <v>152</v>
      </c>
      <c r="C8" s="268"/>
      <c r="D8" s="269"/>
      <c r="E8" s="13"/>
      <c r="F8" s="207" t="s">
        <v>315</v>
      </c>
      <c r="G8" s="207" t="s">
        <v>316</v>
      </c>
      <c r="H8" s="207" t="s">
        <v>338</v>
      </c>
    </row>
    <row r="9" spans="1:8" s="8" customFormat="1" ht="44.25" customHeight="1" thickTop="1" thickBot="1" x14ac:dyDescent="0.25">
      <c r="A9" s="42" t="s">
        <v>136</v>
      </c>
      <c r="B9" s="267" t="s">
        <v>196</v>
      </c>
      <c r="C9" s="268"/>
      <c r="D9" s="269"/>
      <c r="E9" s="13"/>
      <c r="F9" s="207" t="s">
        <v>291</v>
      </c>
      <c r="G9" s="129" t="s">
        <v>291</v>
      </c>
      <c r="H9" s="129" t="s">
        <v>291</v>
      </c>
    </row>
    <row r="10" spans="1:8" ht="12.75" customHeight="1" thickTop="1" x14ac:dyDescent="0.2">
      <c r="A10" s="43" t="s">
        <v>0</v>
      </c>
      <c r="B10" s="258" t="s">
        <v>154</v>
      </c>
      <c r="C10" s="259"/>
      <c r="D10" s="260"/>
      <c r="E10" s="13"/>
      <c r="F10" s="127" t="s">
        <v>285</v>
      </c>
      <c r="G10" s="210" t="s">
        <v>285</v>
      </c>
      <c r="H10" s="210" t="s">
        <v>285</v>
      </c>
    </row>
    <row r="11" spans="1:8" x14ac:dyDescent="0.2">
      <c r="A11" s="43" t="s">
        <v>1</v>
      </c>
      <c r="B11" s="258" t="s">
        <v>153</v>
      </c>
      <c r="C11" s="259"/>
      <c r="D11" s="260"/>
      <c r="E11" s="13"/>
      <c r="F11" s="127" t="s">
        <v>284</v>
      </c>
      <c r="G11" s="210" t="s">
        <v>284</v>
      </c>
      <c r="H11" s="210" t="s">
        <v>284</v>
      </c>
    </row>
    <row r="12" spans="1:8" ht="15" customHeight="1" thickBot="1" x14ac:dyDescent="0.25">
      <c r="A12" s="44" t="s">
        <v>2</v>
      </c>
      <c r="B12" s="261" t="s">
        <v>155</v>
      </c>
      <c r="C12" s="262"/>
      <c r="D12" s="263"/>
      <c r="E12" s="13"/>
      <c r="F12" s="128" t="s">
        <v>283</v>
      </c>
      <c r="G12" s="211" t="s">
        <v>283</v>
      </c>
      <c r="H12" s="211" t="s">
        <v>283</v>
      </c>
    </row>
    <row r="13" spans="1:8" ht="13.5" thickTop="1" x14ac:dyDescent="0.2">
      <c r="A13" s="43" t="s">
        <v>3</v>
      </c>
      <c r="B13" s="258" t="s">
        <v>157</v>
      </c>
      <c r="C13" s="259"/>
      <c r="D13" s="260"/>
      <c r="E13" s="13"/>
      <c r="F13" s="127" t="s">
        <v>285</v>
      </c>
      <c r="G13" s="210" t="s">
        <v>285</v>
      </c>
      <c r="H13" s="210" t="s">
        <v>285</v>
      </c>
    </row>
    <row r="14" spans="1:8" x14ac:dyDescent="0.2">
      <c r="A14" s="43" t="s">
        <v>4</v>
      </c>
      <c r="B14" s="258" t="s">
        <v>156</v>
      </c>
      <c r="C14" s="259"/>
      <c r="D14" s="260"/>
      <c r="E14" s="13"/>
      <c r="F14" s="127" t="s">
        <v>284</v>
      </c>
      <c r="G14" s="210" t="s">
        <v>284</v>
      </c>
      <c r="H14" s="210" t="s">
        <v>284</v>
      </c>
    </row>
    <row r="15" spans="1:8" ht="15.75" customHeight="1" thickBot="1" x14ac:dyDescent="0.25">
      <c r="A15" s="45" t="s">
        <v>5</v>
      </c>
      <c r="B15" s="261" t="s">
        <v>158</v>
      </c>
      <c r="C15" s="262"/>
      <c r="D15" s="263"/>
      <c r="E15" s="13"/>
      <c r="F15" s="129" t="s">
        <v>283</v>
      </c>
      <c r="G15" s="211" t="s">
        <v>283</v>
      </c>
      <c r="H15" s="211" t="s">
        <v>283</v>
      </c>
    </row>
    <row r="16" spans="1:8" ht="29.25" customHeight="1" thickTop="1" x14ac:dyDescent="0.2">
      <c r="A16" s="43" t="s">
        <v>101</v>
      </c>
      <c r="B16" s="264" t="s">
        <v>160</v>
      </c>
      <c r="C16" s="265"/>
      <c r="D16" s="266"/>
      <c r="E16" s="13"/>
      <c r="F16" s="130">
        <v>0</v>
      </c>
      <c r="G16" s="212">
        <v>0</v>
      </c>
      <c r="H16" s="212">
        <v>0</v>
      </c>
    </row>
    <row r="17" spans="1:8" ht="30.75" customHeight="1" thickBot="1" x14ac:dyDescent="0.25">
      <c r="A17" s="45" t="s">
        <v>43</v>
      </c>
      <c r="B17" s="261" t="s">
        <v>159</v>
      </c>
      <c r="C17" s="262"/>
      <c r="D17" s="263"/>
      <c r="E17" s="13"/>
      <c r="F17" s="129" t="s">
        <v>317</v>
      </c>
      <c r="G17" s="129" t="s">
        <v>317</v>
      </c>
      <c r="H17" s="129" t="s">
        <v>317</v>
      </c>
    </row>
    <row r="18" spans="1:8" s="10" customFormat="1" ht="14.25" thickTop="1" thickBot="1" x14ac:dyDescent="0.25">
      <c r="C18" s="11"/>
      <c r="D18" s="11"/>
      <c r="E18" s="11"/>
      <c r="F18" s="100"/>
      <c r="G18" s="114"/>
      <c r="H18" s="114"/>
    </row>
    <row r="19" spans="1:8" s="12" customFormat="1" ht="16.5" customHeight="1" thickBot="1" x14ac:dyDescent="0.25">
      <c r="A19" s="276" t="s">
        <v>150</v>
      </c>
      <c r="B19" s="277"/>
      <c r="C19" s="277"/>
      <c r="D19" s="278"/>
      <c r="E19" s="36"/>
      <c r="F19" s="113" t="s">
        <v>262</v>
      </c>
      <c r="G19" s="113" t="s">
        <v>262</v>
      </c>
      <c r="H19" s="113" t="s">
        <v>262</v>
      </c>
    </row>
    <row r="20" spans="1:8" s="4" customFormat="1" ht="15" customHeight="1" thickBot="1" x14ac:dyDescent="0.3">
      <c r="A20" s="55" t="s">
        <v>6</v>
      </c>
      <c r="B20" s="31" t="s">
        <v>165</v>
      </c>
      <c r="C20" s="33"/>
      <c r="D20" s="48"/>
      <c r="E20" s="37"/>
      <c r="F20" s="97" t="s">
        <v>19</v>
      </c>
      <c r="G20" s="97" t="s">
        <v>261</v>
      </c>
      <c r="H20" s="97" t="s">
        <v>307</v>
      </c>
    </row>
    <row r="21" spans="1:8" ht="56.25" customHeight="1" x14ac:dyDescent="0.2">
      <c r="A21" s="46" t="s">
        <v>42</v>
      </c>
      <c r="B21" s="279" t="s">
        <v>161</v>
      </c>
      <c r="C21" s="280"/>
      <c r="D21" s="281"/>
      <c r="E21" s="13"/>
      <c r="F21" s="208">
        <f>131695*('PPI Adj'!D6)</f>
        <v>153688.065</v>
      </c>
      <c r="G21" s="213">
        <f>129521*('PPI Adj'!D6)</f>
        <v>151151.00700000001</v>
      </c>
      <c r="H21" s="213">
        <f>140295*('PPI Adj'!D6)</f>
        <v>163724.26500000001</v>
      </c>
    </row>
    <row r="22" spans="1:8" ht="26.1" customHeight="1" thickBot="1" x14ac:dyDescent="0.25">
      <c r="A22" s="47" t="s">
        <v>41</v>
      </c>
      <c r="B22" s="300" t="s">
        <v>163</v>
      </c>
      <c r="C22" s="301"/>
      <c r="D22" s="302"/>
      <c r="E22" s="1"/>
      <c r="F22" s="214">
        <v>16</v>
      </c>
      <c r="G22" s="215">
        <v>16</v>
      </c>
      <c r="H22" s="215">
        <v>16</v>
      </c>
    </row>
    <row r="23" spans="1:8" ht="13.5" thickBot="1" x14ac:dyDescent="0.25">
      <c r="A23" s="58"/>
      <c r="B23" s="1"/>
      <c r="C23" s="1"/>
      <c r="D23" s="1"/>
      <c r="E23" s="1"/>
      <c r="F23" s="102"/>
      <c r="G23" s="110"/>
      <c r="H23" s="110"/>
    </row>
    <row r="24" spans="1:8" s="8" customFormat="1" ht="15.75" customHeight="1" thickBot="1" x14ac:dyDescent="0.25">
      <c r="A24" s="303" t="s">
        <v>164</v>
      </c>
      <c r="B24" s="304"/>
      <c r="C24" s="304"/>
      <c r="D24" s="305"/>
      <c r="E24" s="38"/>
      <c r="F24" s="113" t="s">
        <v>262</v>
      </c>
      <c r="G24" s="113" t="s">
        <v>262</v>
      </c>
      <c r="H24" s="113" t="s">
        <v>262</v>
      </c>
    </row>
    <row r="25" spans="1:8" s="3" customFormat="1" ht="15" customHeight="1" thickBot="1" x14ac:dyDescent="0.3">
      <c r="A25" s="55" t="s">
        <v>6</v>
      </c>
      <c r="B25" s="56" t="s">
        <v>7</v>
      </c>
      <c r="C25" s="306" t="s">
        <v>165</v>
      </c>
      <c r="D25" s="307"/>
      <c r="E25" s="39"/>
      <c r="F25" s="97" t="s">
        <v>19</v>
      </c>
      <c r="G25" s="97" t="s">
        <v>261</v>
      </c>
      <c r="H25" s="97" t="s">
        <v>307</v>
      </c>
    </row>
    <row r="26" spans="1:8" s="13" customFormat="1" ht="81.599999999999994" customHeight="1" thickBot="1" x14ac:dyDescent="0.3">
      <c r="A26" s="49" t="s">
        <v>8</v>
      </c>
      <c r="B26" s="29" t="s">
        <v>282</v>
      </c>
      <c r="C26" s="282" t="s">
        <v>118</v>
      </c>
      <c r="D26" s="283"/>
      <c r="E26" s="34"/>
      <c r="F26" s="135">
        <v>27800</v>
      </c>
      <c r="G26" s="135">
        <v>27800</v>
      </c>
      <c r="H26" s="135">
        <v>27800</v>
      </c>
    </row>
    <row r="27" spans="1:8" s="13" customFormat="1" x14ac:dyDescent="0.25">
      <c r="A27" s="284" t="s">
        <v>21</v>
      </c>
      <c r="B27" s="286" t="s">
        <v>290</v>
      </c>
      <c r="C27" s="288" t="s">
        <v>67</v>
      </c>
      <c r="D27" s="289"/>
      <c r="E27" s="34"/>
      <c r="F27" s="134">
        <v>8</v>
      </c>
      <c r="G27" s="134">
        <v>8</v>
      </c>
      <c r="H27" s="134">
        <v>8</v>
      </c>
    </row>
    <row r="28" spans="1:8" s="13" customFormat="1" ht="13.5" thickBot="1" x14ac:dyDescent="0.3">
      <c r="A28" s="285"/>
      <c r="B28" s="287"/>
      <c r="C28" s="282" t="s">
        <v>68</v>
      </c>
      <c r="D28" s="283"/>
      <c r="E28" s="34"/>
      <c r="F28" s="135">
        <v>48</v>
      </c>
      <c r="G28" s="135">
        <v>48</v>
      </c>
      <c r="H28" s="135">
        <v>48</v>
      </c>
    </row>
    <row r="29" spans="1:8" s="13" customFormat="1" ht="13.5" thickBot="1" x14ac:dyDescent="0.3">
      <c r="A29" s="50" t="s">
        <v>123</v>
      </c>
      <c r="B29" s="30" t="s">
        <v>108</v>
      </c>
      <c r="C29" s="298"/>
      <c r="D29" s="299"/>
      <c r="E29" s="35"/>
      <c r="F29" s="133"/>
      <c r="G29" s="133"/>
      <c r="H29" s="133"/>
    </row>
    <row r="30" spans="1:8" s="13" customFormat="1" x14ac:dyDescent="0.25">
      <c r="A30" s="284" t="s">
        <v>59</v>
      </c>
      <c r="B30" s="286"/>
      <c r="C30" s="288" t="s">
        <v>58</v>
      </c>
      <c r="D30" s="289"/>
      <c r="E30" s="34"/>
      <c r="F30" s="134">
        <v>218</v>
      </c>
      <c r="G30" s="134">
        <v>218</v>
      </c>
      <c r="H30" s="134">
        <v>218</v>
      </c>
    </row>
    <row r="31" spans="1:8" s="13" customFormat="1" x14ac:dyDescent="0.25">
      <c r="A31" s="292"/>
      <c r="B31" s="293"/>
      <c r="C31" s="294" t="s">
        <v>57</v>
      </c>
      <c r="D31" s="295"/>
      <c r="E31" s="34"/>
      <c r="F31" s="127">
        <v>381.14</v>
      </c>
      <c r="G31" s="127">
        <v>381.14</v>
      </c>
      <c r="H31" s="127">
        <v>381.14</v>
      </c>
    </row>
    <row r="32" spans="1:8" s="13" customFormat="1" x14ac:dyDescent="0.25">
      <c r="A32" s="292"/>
      <c r="B32" s="293"/>
      <c r="C32" s="294" t="s">
        <v>69</v>
      </c>
      <c r="D32" s="295"/>
      <c r="E32" s="34"/>
      <c r="F32" s="127">
        <v>90</v>
      </c>
      <c r="G32" s="127">
        <v>90</v>
      </c>
      <c r="H32" s="127">
        <v>90</v>
      </c>
    </row>
    <row r="33" spans="1:8" s="13" customFormat="1" x14ac:dyDescent="0.25">
      <c r="A33" s="292"/>
      <c r="B33" s="293"/>
      <c r="C33" s="296" t="s">
        <v>70</v>
      </c>
      <c r="D33" s="297"/>
      <c r="E33" s="34"/>
      <c r="F33" s="127">
        <v>78</v>
      </c>
      <c r="G33" s="127">
        <v>78</v>
      </c>
      <c r="H33" s="127">
        <v>78</v>
      </c>
    </row>
    <row r="34" spans="1:8" s="13" customFormat="1" ht="13.5" thickBot="1" x14ac:dyDescent="0.3">
      <c r="A34" s="285"/>
      <c r="B34" s="287"/>
      <c r="C34" s="282" t="s">
        <v>111</v>
      </c>
      <c r="D34" s="283"/>
      <c r="E34" s="34"/>
      <c r="F34" s="135">
        <v>191.49</v>
      </c>
      <c r="G34" s="135">
        <v>191.49</v>
      </c>
      <c r="H34" s="135">
        <v>191.49</v>
      </c>
    </row>
    <row r="35" spans="1:8" s="13" customFormat="1" ht="17.45" customHeight="1" thickBot="1" x14ac:dyDescent="0.3">
      <c r="A35" s="50" t="s">
        <v>229</v>
      </c>
      <c r="B35" s="30" t="s">
        <v>228</v>
      </c>
      <c r="C35" s="298"/>
      <c r="D35" s="299"/>
      <c r="E35" s="35"/>
      <c r="F35" s="133"/>
      <c r="G35" s="133"/>
      <c r="H35" s="133"/>
    </row>
    <row r="36" spans="1:8" s="13" customFormat="1" x14ac:dyDescent="0.25">
      <c r="A36" s="284" t="s">
        <v>11</v>
      </c>
      <c r="B36" s="286"/>
      <c r="C36" s="288" t="s">
        <v>24</v>
      </c>
      <c r="D36" s="289"/>
      <c r="E36" s="34"/>
      <c r="F36" s="134">
        <v>8000</v>
      </c>
      <c r="G36" s="134">
        <v>8000</v>
      </c>
      <c r="H36" s="134">
        <v>8000</v>
      </c>
    </row>
    <row r="37" spans="1:8" s="13" customFormat="1" ht="13.5" thickBot="1" x14ac:dyDescent="0.3">
      <c r="A37" s="285"/>
      <c r="B37" s="287"/>
      <c r="C37" s="282" t="s">
        <v>22</v>
      </c>
      <c r="D37" s="283"/>
      <c r="E37" s="34"/>
      <c r="F37" s="135">
        <v>8000</v>
      </c>
      <c r="G37" s="135">
        <v>8000</v>
      </c>
      <c r="H37" s="135">
        <v>8000</v>
      </c>
    </row>
    <row r="38" spans="1:8" s="13" customFormat="1" x14ac:dyDescent="0.25">
      <c r="A38" s="284" t="s">
        <v>16</v>
      </c>
      <c r="B38" s="286"/>
      <c r="C38" s="288" t="s">
        <v>24</v>
      </c>
      <c r="D38" s="289"/>
      <c r="E38" s="34"/>
      <c r="F38" s="134">
        <v>19800</v>
      </c>
      <c r="G38" s="134">
        <v>19800</v>
      </c>
      <c r="H38" s="134">
        <v>19800</v>
      </c>
    </row>
    <row r="39" spans="1:8" s="13" customFormat="1" ht="13.5" thickBot="1" x14ac:dyDescent="0.3">
      <c r="A39" s="285"/>
      <c r="B39" s="287"/>
      <c r="C39" s="290" t="s">
        <v>23</v>
      </c>
      <c r="D39" s="291"/>
      <c r="E39" s="34"/>
      <c r="F39" s="135">
        <v>19800</v>
      </c>
      <c r="G39" s="135">
        <v>19800</v>
      </c>
      <c r="H39" s="135">
        <v>19800</v>
      </c>
    </row>
    <row r="40" spans="1:8" s="13" customFormat="1" ht="13.5" thickBot="1" x14ac:dyDescent="0.3">
      <c r="A40" s="50" t="s">
        <v>52</v>
      </c>
      <c r="B40" s="30" t="s">
        <v>53</v>
      </c>
      <c r="C40" s="298"/>
      <c r="D40" s="299"/>
      <c r="E40" s="35"/>
      <c r="F40" s="133"/>
      <c r="G40" s="133"/>
      <c r="H40" s="133"/>
    </row>
    <row r="41" spans="1:8" s="13" customFormat="1" x14ac:dyDescent="0.25">
      <c r="A41" s="284" t="s">
        <v>224</v>
      </c>
      <c r="B41" s="286" t="s">
        <v>227</v>
      </c>
      <c r="C41" s="288" t="s">
        <v>226</v>
      </c>
      <c r="D41" s="289"/>
      <c r="E41" s="34"/>
      <c r="F41" s="134" t="s">
        <v>318</v>
      </c>
      <c r="G41" s="134" t="s">
        <v>318</v>
      </c>
      <c r="H41" s="134" t="s">
        <v>318</v>
      </c>
    </row>
    <row r="42" spans="1:8" s="13" customFormat="1" ht="14.45" customHeight="1" x14ac:dyDescent="0.25">
      <c r="A42" s="292"/>
      <c r="B42" s="293"/>
      <c r="C42" s="294" t="s">
        <v>225</v>
      </c>
      <c r="D42" s="295"/>
      <c r="E42" s="34"/>
      <c r="F42" s="127" t="s">
        <v>319</v>
      </c>
      <c r="G42" s="127" t="s">
        <v>319</v>
      </c>
      <c r="H42" s="127" t="s">
        <v>319</v>
      </c>
    </row>
    <row r="43" spans="1:8" s="13" customFormat="1" ht="94.5" customHeight="1" thickBot="1" x14ac:dyDescent="0.3">
      <c r="A43" s="285"/>
      <c r="B43" s="293"/>
      <c r="C43" s="290"/>
      <c r="D43" s="291"/>
      <c r="E43" s="34"/>
      <c r="F43" s="136"/>
      <c r="G43" s="136"/>
      <c r="H43" s="136"/>
    </row>
    <row r="44" spans="1:8" s="13" customFormat="1" ht="29.45" customHeight="1" thickBot="1" x14ac:dyDescent="0.3">
      <c r="A44" s="50" t="s">
        <v>224</v>
      </c>
      <c r="B44" s="30" t="s">
        <v>223</v>
      </c>
      <c r="C44" s="298"/>
      <c r="D44" s="299"/>
      <c r="E44" s="35"/>
      <c r="F44" s="133"/>
      <c r="G44" s="133"/>
      <c r="H44" s="133"/>
    </row>
    <row r="45" spans="1:8" s="13" customFormat="1" ht="13.5" thickBot="1" x14ac:dyDescent="0.3">
      <c r="A45" s="308" t="s">
        <v>12</v>
      </c>
      <c r="B45" s="309" t="s">
        <v>142</v>
      </c>
      <c r="C45" s="288" t="s">
        <v>174</v>
      </c>
      <c r="D45" s="289"/>
      <c r="E45" s="34"/>
      <c r="F45" s="134" t="s">
        <v>339</v>
      </c>
      <c r="G45" s="134" t="s">
        <v>339</v>
      </c>
      <c r="H45" s="134" t="s">
        <v>339</v>
      </c>
    </row>
    <row r="46" spans="1:8" s="13" customFormat="1" ht="13.5" thickBot="1" x14ac:dyDescent="0.3">
      <c r="A46" s="308"/>
      <c r="B46" s="309"/>
      <c r="C46" s="294" t="s">
        <v>175</v>
      </c>
      <c r="D46" s="295"/>
      <c r="E46" s="34"/>
      <c r="F46" s="127">
        <v>5677</v>
      </c>
      <c r="G46" s="210">
        <v>5677</v>
      </c>
      <c r="H46" s="210">
        <v>5677</v>
      </c>
    </row>
    <row r="47" spans="1:8" s="13" customFormat="1" ht="13.5" thickBot="1" x14ac:dyDescent="0.3">
      <c r="A47" s="308"/>
      <c r="B47" s="309"/>
      <c r="C47" s="294" t="s">
        <v>176</v>
      </c>
      <c r="D47" s="295"/>
      <c r="E47" s="34"/>
      <c r="F47" s="126" t="s">
        <v>339</v>
      </c>
      <c r="G47" s="216" t="s">
        <v>339</v>
      </c>
      <c r="H47" s="216" t="s">
        <v>339</v>
      </c>
    </row>
    <row r="48" spans="1:8" s="13" customFormat="1" ht="13.5" thickBot="1" x14ac:dyDescent="0.3">
      <c r="A48" s="308"/>
      <c r="B48" s="309"/>
      <c r="C48" s="294" t="s">
        <v>177</v>
      </c>
      <c r="D48" s="295"/>
      <c r="E48" s="34"/>
      <c r="F48" s="127">
        <v>5355</v>
      </c>
      <c r="G48" s="210">
        <v>5355</v>
      </c>
      <c r="H48" s="210">
        <v>5355</v>
      </c>
    </row>
    <row r="49" spans="1:8" s="13" customFormat="1" ht="13.5" thickBot="1" x14ac:dyDescent="0.3">
      <c r="A49" s="308"/>
      <c r="B49" s="309"/>
      <c r="C49" s="294" t="s">
        <v>112</v>
      </c>
      <c r="D49" s="295"/>
      <c r="E49" s="34"/>
      <c r="F49" s="127">
        <v>7372115809</v>
      </c>
      <c r="G49" s="210">
        <v>7372115809</v>
      </c>
      <c r="H49" s="210">
        <v>7372115809</v>
      </c>
    </row>
    <row r="50" spans="1:8" s="13" customFormat="1" ht="13.5" thickBot="1" x14ac:dyDescent="0.3">
      <c r="A50" s="308"/>
      <c r="B50" s="309"/>
      <c r="C50" s="294" t="s">
        <v>113</v>
      </c>
      <c r="D50" s="295"/>
      <c r="E50" s="34"/>
      <c r="F50" s="127" t="s">
        <v>320</v>
      </c>
      <c r="G50" s="210" t="s">
        <v>320</v>
      </c>
      <c r="H50" s="210" t="s">
        <v>320</v>
      </c>
    </row>
    <row r="51" spans="1:8" s="13" customFormat="1" ht="13.5" thickBot="1" x14ac:dyDescent="0.3">
      <c r="A51" s="308"/>
      <c r="B51" s="309"/>
      <c r="C51" s="296" t="s">
        <v>114</v>
      </c>
      <c r="D51" s="297"/>
      <c r="E51" s="34"/>
      <c r="F51" s="127">
        <v>7372115809</v>
      </c>
      <c r="G51" s="210">
        <v>7372115809</v>
      </c>
      <c r="H51" s="210">
        <v>7372115809</v>
      </c>
    </row>
    <row r="52" spans="1:8" s="13" customFormat="1" ht="15.6" customHeight="1" thickBot="1" x14ac:dyDescent="0.3">
      <c r="A52" s="308"/>
      <c r="B52" s="309"/>
      <c r="C52" s="282" t="s">
        <v>115</v>
      </c>
      <c r="D52" s="283"/>
      <c r="E52" s="34"/>
      <c r="F52" s="135" t="s">
        <v>320</v>
      </c>
      <c r="G52" s="217" t="s">
        <v>320</v>
      </c>
      <c r="H52" s="217" t="s">
        <v>320</v>
      </c>
    </row>
    <row r="53" spans="1:8" s="13" customFormat="1" x14ac:dyDescent="0.25">
      <c r="A53" s="284" t="s">
        <v>10</v>
      </c>
      <c r="B53" s="286" t="s">
        <v>222</v>
      </c>
      <c r="C53" s="288" t="s">
        <v>116</v>
      </c>
      <c r="D53" s="289"/>
      <c r="E53" s="34"/>
      <c r="F53" s="134">
        <v>6</v>
      </c>
      <c r="G53" s="218">
        <v>6</v>
      </c>
      <c r="H53" s="218">
        <v>6</v>
      </c>
    </row>
    <row r="54" spans="1:8" s="13" customFormat="1" x14ac:dyDescent="0.25">
      <c r="A54" s="292"/>
      <c r="B54" s="293"/>
      <c r="C54" s="294" t="s">
        <v>117</v>
      </c>
      <c r="D54" s="295"/>
      <c r="E54" s="34"/>
      <c r="F54" s="127" t="s">
        <v>277</v>
      </c>
      <c r="G54" s="210" t="s">
        <v>277</v>
      </c>
      <c r="H54" s="210" t="s">
        <v>277</v>
      </c>
    </row>
    <row r="55" spans="1:8" s="13" customFormat="1" ht="13.5" thickBot="1" x14ac:dyDescent="0.3">
      <c r="A55" s="292"/>
      <c r="B55" s="293"/>
      <c r="C55" s="290" t="s">
        <v>71</v>
      </c>
      <c r="D55" s="291"/>
      <c r="E55" s="34"/>
      <c r="F55" s="136" t="s">
        <v>321</v>
      </c>
      <c r="G55" s="219" t="s">
        <v>321</v>
      </c>
      <c r="H55" s="219" t="s">
        <v>321</v>
      </c>
    </row>
    <row r="56" spans="1:8" s="13" customFormat="1" ht="81.599999999999994" customHeight="1" thickBot="1" x14ac:dyDescent="0.3">
      <c r="A56" s="51" t="s">
        <v>9</v>
      </c>
      <c r="B56" s="28" t="s">
        <v>276</v>
      </c>
      <c r="C56" s="296"/>
      <c r="D56" s="297"/>
      <c r="E56" s="34"/>
      <c r="F56" s="134"/>
      <c r="G56" s="220"/>
      <c r="H56" s="220"/>
    </row>
    <row r="57" spans="1:8" s="13" customFormat="1" ht="28.5" customHeight="1" thickBot="1" x14ac:dyDescent="0.3">
      <c r="A57" s="51" t="s">
        <v>275</v>
      </c>
      <c r="B57" s="28" t="s">
        <v>274</v>
      </c>
      <c r="C57" s="298"/>
      <c r="D57" s="299"/>
      <c r="E57" s="35"/>
      <c r="F57" s="137"/>
      <c r="G57" s="218"/>
      <c r="H57" s="218"/>
    </row>
    <row r="58" spans="1:8" s="13" customFormat="1" ht="25.5" x14ac:dyDescent="0.25">
      <c r="A58" s="284" t="s">
        <v>25</v>
      </c>
      <c r="B58" s="286" t="s">
        <v>93</v>
      </c>
      <c r="C58" s="288" t="s">
        <v>72</v>
      </c>
      <c r="D58" s="289"/>
      <c r="E58" s="34"/>
      <c r="F58" s="134" t="s">
        <v>322</v>
      </c>
      <c r="G58" s="218" t="s">
        <v>322</v>
      </c>
      <c r="H58" s="218" t="s">
        <v>322</v>
      </c>
    </row>
    <row r="59" spans="1:8" s="13" customFormat="1" ht="70.5" customHeight="1" thickBot="1" x14ac:dyDescent="0.3">
      <c r="A59" s="285"/>
      <c r="B59" s="287"/>
      <c r="C59" s="282" t="s">
        <v>73</v>
      </c>
      <c r="D59" s="283"/>
      <c r="E59" s="34"/>
      <c r="F59" s="135">
        <v>240</v>
      </c>
      <c r="G59" s="217">
        <v>240</v>
      </c>
      <c r="H59" s="217">
        <v>240</v>
      </c>
    </row>
    <row r="60" spans="1:8" s="13" customFormat="1" x14ac:dyDescent="0.25">
      <c r="A60" s="284" t="s">
        <v>26</v>
      </c>
      <c r="B60" s="286" t="s">
        <v>273</v>
      </c>
      <c r="C60" s="288" t="s">
        <v>74</v>
      </c>
      <c r="D60" s="289"/>
      <c r="E60" s="34"/>
      <c r="F60" s="134" t="s">
        <v>272</v>
      </c>
      <c r="G60" s="218" t="s">
        <v>272</v>
      </c>
      <c r="H60" s="218" t="s">
        <v>272</v>
      </c>
    </row>
    <row r="61" spans="1:8" s="13" customFormat="1" x14ac:dyDescent="0.25">
      <c r="A61" s="292"/>
      <c r="B61" s="293"/>
      <c r="C61" s="294" t="s">
        <v>75</v>
      </c>
      <c r="D61" s="295"/>
      <c r="E61" s="34"/>
      <c r="F61" s="127">
        <v>3</v>
      </c>
      <c r="G61" s="210">
        <v>3</v>
      </c>
      <c r="H61" s="210">
        <v>3</v>
      </c>
    </row>
    <row r="62" spans="1:8" s="13" customFormat="1" ht="32.25" customHeight="1" thickBot="1" x14ac:dyDescent="0.3">
      <c r="A62" s="285"/>
      <c r="B62" s="287"/>
      <c r="C62" s="282" t="s">
        <v>271</v>
      </c>
      <c r="D62" s="283"/>
      <c r="E62" s="34"/>
      <c r="F62" s="135">
        <v>2850</v>
      </c>
      <c r="G62" s="221">
        <v>2850</v>
      </c>
      <c r="H62" s="221">
        <v>2850</v>
      </c>
    </row>
    <row r="63" spans="1:8" s="13" customFormat="1" ht="20.100000000000001" customHeight="1" thickBot="1" x14ac:dyDescent="0.3">
      <c r="A63" s="50" t="s">
        <v>44</v>
      </c>
      <c r="B63" s="30" t="s">
        <v>45</v>
      </c>
      <c r="C63" s="298"/>
      <c r="D63" s="299"/>
      <c r="E63" s="35"/>
      <c r="F63" s="137"/>
      <c r="G63" s="137"/>
      <c r="H63" s="137"/>
    </row>
    <row r="64" spans="1:8" s="13" customFormat="1" ht="28.5" customHeight="1" thickBot="1" x14ac:dyDescent="0.3">
      <c r="A64" s="50" t="s">
        <v>44</v>
      </c>
      <c r="B64" s="30" t="s">
        <v>63</v>
      </c>
      <c r="C64" s="298"/>
      <c r="D64" s="299"/>
      <c r="E64" s="35"/>
      <c r="F64" s="137"/>
      <c r="G64" s="137"/>
      <c r="H64" s="137"/>
    </row>
    <row r="65" spans="1:8" s="13" customFormat="1" ht="31.5" customHeight="1" thickBot="1" x14ac:dyDescent="0.3">
      <c r="A65" s="50" t="s">
        <v>44</v>
      </c>
      <c r="B65" s="30" t="s">
        <v>64</v>
      </c>
      <c r="C65" s="298"/>
      <c r="D65" s="299"/>
      <c r="E65" s="35"/>
      <c r="F65" s="137"/>
      <c r="G65" s="137"/>
      <c r="H65" s="137"/>
    </row>
    <row r="66" spans="1:8" s="13" customFormat="1" ht="30.95" customHeight="1" thickBot="1" x14ac:dyDescent="0.3">
      <c r="A66" s="50" t="s">
        <v>50</v>
      </c>
      <c r="B66" s="30" t="s">
        <v>221</v>
      </c>
      <c r="C66" s="298"/>
      <c r="D66" s="299"/>
      <c r="E66" s="35"/>
      <c r="F66" s="137"/>
      <c r="G66" s="137"/>
      <c r="H66" s="137"/>
    </row>
    <row r="67" spans="1:8" s="13" customFormat="1" ht="17.45" customHeight="1" thickBot="1" x14ac:dyDescent="0.3">
      <c r="A67" s="50" t="s">
        <v>27</v>
      </c>
      <c r="B67" s="30" t="s">
        <v>220</v>
      </c>
      <c r="C67" s="310" t="s">
        <v>77</v>
      </c>
      <c r="D67" s="311"/>
      <c r="E67" s="34"/>
      <c r="F67" s="133" t="s">
        <v>270</v>
      </c>
      <c r="G67" s="133" t="s">
        <v>270</v>
      </c>
      <c r="H67" s="133" t="s">
        <v>270</v>
      </c>
    </row>
    <row r="68" spans="1:8" s="13" customFormat="1" ht="54.6" customHeight="1" thickBot="1" x14ac:dyDescent="0.3">
      <c r="A68" s="50" t="s">
        <v>219</v>
      </c>
      <c r="B68" s="30" t="s">
        <v>218</v>
      </c>
      <c r="C68" s="310"/>
      <c r="D68" s="311"/>
      <c r="E68" s="34"/>
      <c r="F68" s="133"/>
      <c r="G68" s="137"/>
      <c r="H68" s="137"/>
    </row>
    <row r="69" spans="1:8" s="13" customFormat="1" ht="15" customHeight="1" x14ac:dyDescent="0.25">
      <c r="A69" s="284" t="s">
        <v>28</v>
      </c>
      <c r="B69" s="286" t="s">
        <v>268</v>
      </c>
      <c r="C69" s="350" t="s">
        <v>267</v>
      </c>
      <c r="D69" s="289"/>
      <c r="E69" s="34"/>
      <c r="F69" s="134">
        <v>65</v>
      </c>
      <c r="G69" s="134">
        <v>65</v>
      </c>
      <c r="H69" s="134">
        <v>65</v>
      </c>
    </row>
    <row r="70" spans="1:8" s="13" customFormat="1" ht="39" thickBot="1" x14ac:dyDescent="0.3">
      <c r="A70" s="285"/>
      <c r="B70" s="287"/>
      <c r="C70" s="351" t="s">
        <v>266</v>
      </c>
      <c r="D70" s="283"/>
      <c r="E70" s="34"/>
      <c r="F70" s="135" t="s">
        <v>265</v>
      </c>
      <c r="G70" s="135" t="s">
        <v>265</v>
      </c>
      <c r="H70" s="135" t="s">
        <v>265</v>
      </c>
    </row>
    <row r="71" spans="1:8" s="13" customFormat="1" ht="42.6" customHeight="1" thickBot="1" x14ac:dyDescent="0.3">
      <c r="A71" s="50" t="s">
        <v>51</v>
      </c>
      <c r="B71" s="30" t="s">
        <v>217</v>
      </c>
      <c r="C71" s="298"/>
      <c r="D71" s="299"/>
      <c r="E71" s="35"/>
      <c r="F71" s="133"/>
      <c r="G71" s="133"/>
      <c r="H71" s="133"/>
    </row>
    <row r="72" spans="1:8" s="13" customFormat="1" ht="41.1" customHeight="1" thickBot="1" x14ac:dyDescent="0.3">
      <c r="A72" s="50" t="s">
        <v>54</v>
      </c>
      <c r="B72" s="30" t="s">
        <v>80</v>
      </c>
      <c r="C72" s="298"/>
      <c r="D72" s="299"/>
      <c r="E72" s="35"/>
      <c r="F72" s="133"/>
      <c r="G72" s="133"/>
      <c r="H72" s="133"/>
    </row>
    <row r="73" spans="1:8" s="13" customFormat="1" ht="82.5" customHeight="1" thickBot="1" x14ac:dyDescent="0.3">
      <c r="A73" s="50" t="s">
        <v>29</v>
      </c>
      <c r="B73" s="30" t="s">
        <v>216</v>
      </c>
      <c r="C73" s="298"/>
      <c r="D73" s="299"/>
      <c r="E73" s="35"/>
      <c r="F73" s="133"/>
      <c r="G73" s="133"/>
      <c r="H73" s="133"/>
    </row>
    <row r="74" spans="1:8" s="13" customFormat="1" ht="68.45" customHeight="1" thickBot="1" x14ac:dyDescent="0.3">
      <c r="A74" s="50" t="s">
        <v>31</v>
      </c>
      <c r="B74" s="30" t="s">
        <v>215</v>
      </c>
      <c r="C74" s="310" t="s">
        <v>30</v>
      </c>
      <c r="D74" s="311"/>
      <c r="E74" s="34"/>
      <c r="F74" s="133" t="s">
        <v>264</v>
      </c>
      <c r="G74" s="133" t="s">
        <v>264</v>
      </c>
      <c r="H74" s="133" t="s">
        <v>264</v>
      </c>
    </row>
    <row r="75" spans="1:8" s="13" customFormat="1" ht="29.45" customHeight="1" thickBot="1" x14ac:dyDescent="0.3">
      <c r="A75" s="50" t="s">
        <v>55</v>
      </c>
      <c r="B75" s="30" t="s">
        <v>95</v>
      </c>
      <c r="C75" s="298"/>
      <c r="D75" s="299"/>
      <c r="E75" s="35"/>
      <c r="F75" s="133"/>
      <c r="G75" s="133"/>
      <c r="H75" s="133"/>
    </row>
    <row r="76" spans="1:8" s="13" customFormat="1" ht="30" customHeight="1" thickBot="1" x14ac:dyDescent="0.3">
      <c r="A76" s="50" t="s">
        <v>32</v>
      </c>
      <c r="B76" s="30" t="s">
        <v>96</v>
      </c>
      <c r="C76" s="310" t="s">
        <v>30</v>
      </c>
      <c r="D76" s="311"/>
      <c r="E76" s="34"/>
      <c r="F76" s="133" t="s">
        <v>323</v>
      </c>
      <c r="G76" s="133" t="s">
        <v>323</v>
      </c>
      <c r="H76" s="133" t="s">
        <v>323</v>
      </c>
    </row>
    <row r="77" spans="1:8" s="13" customFormat="1" ht="42" customHeight="1" thickBot="1" x14ac:dyDescent="0.3">
      <c r="A77" s="50" t="s">
        <v>56</v>
      </c>
      <c r="B77" s="30" t="s">
        <v>167</v>
      </c>
      <c r="C77" s="298"/>
      <c r="D77" s="299"/>
      <c r="E77" s="35"/>
      <c r="F77" s="133"/>
      <c r="G77" s="133"/>
      <c r="H77" s="133"/>
    </row>
    <row r="78" spans="1:8" s="13" customFormat="1" ht="29.45" customHeight="1" thickBot="1" x14ac:dyDescent="0.3">
      <c r="A78" s="50" t="s">
        <v>48</v>
      </c>
      <c r="B78" s="30" t="s">
        <v>47</v>
      </c>
      <c r="C78" s="298"/>
      <c r="D78" s="299"/>
      <c r="E78" s="35"/>
      <c r="F78" s="133"/>
      <c r="G78" s="133"/>
      <c r="H78" s="133"/>
    </row>
    <row r="79" spans="1:8" s="13" customFormat="1" ht="30.6" customHeight="1" thickBot="1" x14ac:dyDescent="0.3">
      <c r="A79" s="50" t="s">
        <v>49</v>
      </c>
      <c r="B79" s="30" t="s">
        <v>103</v>
      </c>
      <c r="C79" s="298"/>
      <c r="D79" s="299"/>
      <c r="E79" s="35"/>
      <c r="F79" s="133"/>
      <c r="G79" s="133"/>
      <c r="H79" s="133"/>
    </row>
    <row r="80" spans="1:8" s="13" customFormat="1" ht="28.5" customHeight="1" thickBot="1" x14ac:dyDescent="0.3">
      <c r="A80" s="50" t="s">
        <v>46</v>
      </c>
      <c r="B80" s="30" t="s">
        <v>81</v>
      </c>
      <c r="C80" s="298"/>
      <c r="D80" s="299"/>
      <c r="E80" s="35"/>
      <c r="F80" s="133"/>
      <c r="G80" s="133"/>
      <c r="H80" s="133"/>
    </row>
    <row r="81" spans="1:8" ht="13.5" thickBot="1" x14ac:dyDescent="0.25">
      <c r="G81" s="110"/>
      <c r="H81" s="110"/>
    </row>
    <row r="82" spans="1:8" s="17" customFormat="1" ht="18" customHeight="1" thickBot="1" x14ac:dyDescent="0.3">
      <c r="A82" s="303" t="s">
        <v>168</v>
      </c>
      <c r="B82" s="304"/>
      <c r="C82" s="304"/>
      <c r="D82" s="305"/>
      <c r="E82" s="38"/>
      <c r="F82" s="113" t="s">
        <v>262</v>
      </c>
      <c r="G82" s="113" t="s">
        <v>262</v>
      </c>
      <c r="H82" s="113" t="s">
        <v>262</v>
      </c>
    </row>
    <row r="83" spans="1:8" s="3" customFormat="1" ht="15" customHeight="1" thickBot="1" x14ac:dyDescent="0.3">
      <c r="A83" s="312" t="s">
        <v>169</v>
      </c>
      <c r="B83" s="313"/>
      <c r="C83" s="313"/>
      <c r="D83" s="314"/>
      <c r="E83" s="39"/>
      <c r="F83" s="97" t="s">
        <v>19</v>
      </c>
      <c r="G83" s="97" t="s">
        <v>261</v>
      </c>
      <c r="H83" s="97" t="s">
        <v>307</v>
      </c>
    </row>
    <row r="84" spans="1:8" s="13" customFormat="1" x14ac:dyDescent="0.25">
      <c r="A84" s="315" t="s">
        <v>83</v>
      </c>
      <c r="B84" s="316"/>
      <c r="C84" s="316"/>
      <c r="D84" s="317"/>
      <c r="E84" s="35"/>
      <c r="F84" s="138">
        <f>-500*('PPI Adj'!D6)</f>
        <v>-583.5</v>
      </c>
      <c r="G84" s="138">
        <f>-500*('PPI Adj'!D6)</f>
        <v>-583.5</v>
      </c>
      <c r="H84" s="138">
        <f>-500*('PPI Adj'!D6)</f>
        <v>-583.5</v>
      </c>
    </row>
    <row r="85" spans="1:8" s="13" customFormat="1" x14ac:dyDescent="0.25">
      <c r="A85" s="318" t="s">
        <v>34</v>
      </c>
      <c r="B85" s="319"/>
      <c r="C85" s="319"/>
      <c r="D85" s="320"/>
      <c r="E85" s="34"/>
      <c r="F85" s="139">
        <f>361*('PPI Adj'!D6)</f>
        <v>421.28700000000003</v>
      </c>
      <c r="G85" s="139">
        <f>361*('PPI Adj'!D6)</f>
        <v>421.28700000000003</v>
      </c>
      <c r="H85" s="139">
        <f>361*('PPI Adj'!D6)</f>
        <v>421.28700000000003</v>
      </c>
    </row>
    <row r="86" spans="1:8" s="13" customFormat="1" x14ac:dyDescent="0.25">
      <c r="A86" s="318" t="s">
        <v>35</v>
      </c>
      <c r="B86" s="319"/>
      <c r="C86" s="319"/>
      <c r="D86" s="320"/>
      <c r="E86" s="35"/>
      <c r="F86" s="139">
        <f>525*('PPI Adj'!D6)</f>
        <v>612.67500000000007</v>
      </c>
      <c r="G86" s="139">
        <f>525*('PPI Adj'!D6)</f>
        <v>612.67500000000007</v>
      </c>
      <c r="H86" s="139">
        <f>525*('PPI Adj'!D6)</f>
        <v>612.67500000000007</v>
      </c>
    </row>
    <row r="87" spans="1:8" s="13" customFormat="1" x14ac:dyDescent="0.25">
      <c r="A87" s="318" t="s">
        <v>36</v>
      </c>
      <c r="B87" s="319"/>
      <c r="C87" s="319"/>
      <c r="D87" s="320"/>
      <c r="E87" s="34"/>
      <c r="F87" s="139" t="s">
        <v>188</v>
      </c>
      <c r="G87" s="139" t="s">
        <v>188</v>
      </c>
      <c r="H87" s="139" t="s">
        <v>188</v>
      </c>
    </row>
    <row r="88" spans="1:8" s="13" customFormat="1" x14ac:dyDescent="0.25">
      <c r="A88" s="318" t="s">
        <v>60</v>
      </c>
      <c r="B88" s="319"/>
      <c r="C88" s="319"/>
      <c r="D88" s="320"/>
      <c r="E88" s="34"/>
      <c r="F88" s="139">
        <f>250*('PPI Adj'!D6)</f>
        <v>291.75</v>
      </c>
      <c r="G88" s="139">
        <f>250*('PPI Adj'!D6)</f>
        <v>291.75</v>
      </c>
      <c r="H88" s="139">
        <f>250*('PPI Adj'!D6)</f>
        <v>291.75</v>
      </c>
    </row>
    <row r="89" spans="1:8" s="13" customFormat="1" x14ac:dyDescent="0.25">
      <c r="A89" s="318" t="s">
        <v>61</v>
      </c>
      <c r="B89" s="319"/>
      <c r="C89" s="319"/>
      <c r="D89" s="320"/>
      <c r="E89" s="34"/>
      <c r="F89" s="139" t="s">
        <v>188</v>
      </c>
      <c r="G89" s="139" t="s">
        <v>188</v>
      </c>
      <c r="H89" s="139" t="s">
        <v>188</v>
      </c>
    </row>
    <row r="90" spans="1:8" s="13" customFormat="1" x14ac:dyDescent="0.25">
      <c r="A90" s="318" t="s">
        <v>86</v>
      </c>
      <c r="B90" s="319"/>
      <c r="C90" s="319"/>
      <c r="D90" s="320"/>
      <c r="E90" s="34"/>
      <c r="F90" s="139">
        <f>300*('PPI Adj'!D6)</f>
        <v>350.1</v>
      </c>
      <c r="G90" s="139">
        <f>300*('PPI Adj'!D6)</f>
        <v>350.1</v>
      </c>
      <c r="H90" s="139">
        <f>300*('PPI Adj'!D6)</f>
        <v>350.1</v>
      </c>
    </row>
    <row r="91" spans="1:8" x14ac:dyDescent="0.2">
      <c r="A91" s="318" t="s">
        <v>85</v>
      </c>
      <c r="B91" s="319"/>
      <c r="C91" s="319"/>
      <c r="D91" s="320"/>
      <c r="E91" s="34"/>
      <c r="F91" s="139" t="s">
        <v>182</v>
      </c>
      <c r="G91" s="139" t="s">
        <v>182</v>
      </c>
      <c r="H91" s="139" t="s">
        <v>182</v>
      </c>
    </row>
    <row r="92" spans="1:8" x14ac:dyDescent="0.2">
      <c r="A92" s="318" t="s">
        <v>13</v>
      </c>
      <c r="B92" s="319"/>
      <c r="C92" s="319"/>
      <c r="D92" s="320"/>
      <c r="E92" s="34"/>
      <c r="F92" s="139">
        <f>8605*('PPI Adj'!D6)</f>
        <v>10042.035</v>
      </c>
      <c r="G92" s="139">
        <f>8605*('PPI Adj'!D6)</f>
        <v>10042.035</v>
      </c>
      <c r="H92" s="139">
        <f>8605*('PPI Adj'!D6)</f>
        <v>10042.035</v>
      </c>
    </row>
    <row r="93" spans="1:8" x14ac:dyDescent="0.2">
      <c r="A93" s="318" t="s">
        <v>37</v>
      </c>
      <c r="B93" s="319"/>
      <c r="C93" s="319"/>
      <c r="D93" s="320"/>
      <c r="E93" s="35"/>
      <c r="F93" s="139" t="s">
        <v>188</v>
      </c>
      <c r="G93" s="139" t="s">
        <v>188</v>
      </c>
      <c r="H93" s="139" t="s">
        <v>188</v>
      </c>
    </row>
    <row r="94" spans="1:8" x14ac:dyDescent="0.2">
      <c r="A94" s="318" t="s">
        <v>38</v>
      </c>
      <c r="B94" s="319"/>
      <c r="C94" s="319"/>
      <c r="D94" s="320"/>
      <c r="E94" s="35"/>
      <c r="F94" s="139">
        <f>790*('PPI Adj'!D6)</f>
        <v>921.93000000000006</v>
      </c>
      <c r="G94" s="139">
        <f>790*('PPI Adj'!D6)</f>
        <v>921.93000000000006</v>
      </c>
      <c r="H94" s="139">
        <f>790*('PPI Adj'!D6)</f>
        <v>921.93000000000006</v>
      </c>
    </row>
    <row r="95" spans="1:8" x14ac:dyDescent="0.2">
      <c r="A95" s="318" t="s">
        <v>206</v>
      </c>
      <c r="B95" s="319"/>
      <c r="C95" s="319"/>
      <c r="D95" s="320"/>
      <c r="E95" s="35"/>
      <c r="F95" s="139" t="s">
        <v>188</v>
      </c>
      <c r="G95" s="139" t="s">
        <v>188</v>
      </c>
      <c r="H95" s="139" t="s">
        <v>188</v>
      </c>
    </row>
    <row r="96" spans="1:8" x14ac:dyDescent="0.2">
      <c r="A96" s="318" t="s">
        <v>39</v>
      </c>
      <c r="B96" s="319"/>
      <c r="C96" s="319"/>
      <c r="D96" s="320"/>
      <c r="E96" s="34"/>
      <c r="F96" s="139">
        <f>48*('PPI Adj'!D6)</f>
        <v>56.016000000000005</v>
      </c>
      <c r="G96" s="139">
        <f>48*('PPI Adj'!D6)</f>
        <v>56.016000000000005</v>
      </c>
      <c r="H96" s="139">
        <f>48*('PPI Adj'!D6)</f>
        <v>56.016000000000005</v>
      </c>
    </row>
    <row r="97" spans="1:8" x14ac:dyDescent="0.2">
      <c r="A97" s="318" t="s">
        <v>88</v>
      </c>
      <c r="B97" s="319"/>
      <c r="C97" s="319"/>
      <c r="D97" s="320"/>
      <c r="E97" s="34"/>
      <c r="F97" s="139">
        <f>6902*('PPI Adj'!D6)</f>
        <v>8054.634</v>
      </c>
      <c r="G97" s="139">
        <f>6902*('PPI Adj'!D6)</f>
        <v>8054.634</v>
      </c>
      <c r="H97" s="139">
        <f>6902*('PPI Adj'!D6)</f>
        <v>8054.634</v>
      </c>
    </row>
    <row r="98" spans="1:8" x14ac:dyDescent="0.2">
      <c r="A98" s="318" t="s">
        <v>40</v>
      </c>
      <c r="B98" s="319"/>
      <c r="C98" s="319"/>
      <c r="D98" s="320"/>
      <c r="E98" s="34"/>
      <c r="F98" s="139">
        <f>781*('PPI Adj'!D6)</f>
        <v>911.42700000000002</v>
      </c>
      <c r="G98" s="139">
        <f>781*('PPI Adj'!D6)</f>
        <v>911.42700000000002</v>
      </c>
      <c r="H98" s="139">
        <f>781*('PPI Adj'!D6)</f>
        <v>911.42700000000002</v>
      </c>
    </row>
    <row r="99" spans="1:8" x14ac:dyDescent="0.2">
      <c r="A99" s="318" t="s">
        <v>14</v>
      </c>
      <c r="B99" s="319"/>
      <c r="C99" s="319"/>
      <c r="D99" s="320"/>
      <c r="E99" s="34"/>
      <c r="F99" s="139">
        <f>12300*('PPI Adj'!D6)</f>
        <v>14354.1</v>
      </c>
      <c r="G99" s="139">
        <f>12300*('PPI Adj'!D6)</f>
        <v>14354.1</v>
      </c>
      <c r="H99" s="139">
        <f>12300*('PPI Adj'!D6)</f>
        <v>14354.1</v>
      </c>
    </row>
    <row r="100" spans="1:8" x14ac:dyDescent="0.2">
      <c r="A100" s="318" t="s">
        <v>91</v>
      </c>
      <c r="B100" s="319"/>
      <c r="C100" s="319"/>
      <c r="D100" s="320"/>
      <c r="E100" s="34"/>
      <c r="F100" s="139">
        <f>3055*('PPI Adj'!D6)</f>
        <v>3565.1849999999999</v>
      </c>
      <c r="G100" s="139">
        <f>3055*('PPI Adj'!D6)</f>
        <v>3565.1849999999999</v>
      </c>
      <c r="H100" s="139">
        <f>3055*('PPI Adj'!D6)</f>
        <v>3565.1849999999999</v>
      </c>
    </row>
    <row r="101" spans="1:8" x14ac:dyDescent="0.2">
      <c r="A101" s="324" t="s">
        <v>324</v>
      </c>
      <c r="B101" s="325"/>
      <c r="C101" s="325"/>
      <c r="D101" s="326"/>
      <c r="E101" s="34"/>
      <c r="F101" s="222">
        <f>-893*('PPI Adj'!D6)</f>
        <v>-1042.1310000000001</v>
      </c>
      <c r="G101" s="222">
        <f>-893*('PPI Adj'!D6)</f>
        <v>-1042.1310000000001</v>
      </c>
      <c r="H101" s="222">
        <f>-893*('PPI Adj'!D6)</f>
        <v>-1042.1310000000001</v>
      </c>
    </row>
    <row r="102" spans="1:8" ht="15.95" customHeight="1" thickBot="1" x14ac:dyDescent="0.25">
      <c r="A102" s="321" t="s">
        <v>92</v>
      </c>
      <c r="B102" s="322"/>
      <c r="C102" s="322"/>
      <c r="D102" s="323"/>
      <c r="E102" s="35"/>
      <c r="F102" s="140">
        <f>-946*('PPI Adj'!D6)</f>
        <v>-1103.982</v>
      </c>
      <c r="G102" s="140">
        <f>-946*('PPI Adj'!D6)</f>
        <v>-1103.982</v>
      </c>
      <c r="H102" s="140">
        <f>-946*('PPI Adj'!D6)</f>
        <v>-1103.982</v>
      </c>
    </row>
    <row r="103" spans="1:8" ht="13.5" thickBot="1" x14ac:dyDescent="0.25">
      <c r="G103" s="110"/>
      <c r="H103" s="110"/>
    </row>
    <row r="104" spans="1:8" s="17" customFormat="1" ht="18" customHeight="1" thickBot="1" x14ac:dyDescent="0.3">
      <c r="A104" s="303" t="s">
        <v>166</v>
      </c>
      <c r="B104" s="304"/>
      <c r="C104" s="304"/>
      <c r="D104" s="305"/>
      <c r="E104" s="38"/>
      <c r="F104" s="113" t="s">
        <v>262</v>
      </c>
      <c r="G104" s="113" t="s">
        <v>262</v>
      </c>
      <c r="H104" s="113" t="s">
        <v>262</v>
      </c>
    </row>
    <row r="105" spans="1:8" s="3" customFormat="1" ht="15" customHeight="1" thickBot="1" x14ac:dyDescent="0.3">
      <c r="A105" s="52" t="s">
        <v>33</v>
      </c>
      <c r="B105" s="24" t="s">
        <v>7</v>
      </c>
      <c r="C105" s="327" t="s">
        <v>165</v>
      </c>
      <c r="D105" s="328"/>
      <c r="E105" s="39"/>
      <c r="F105" s="97" t="s">
        <v>19</v>
      </c>
      <c r="G105" s="97" t="s">
        <v>261</v>
      </c>
      <c r="H105" s="97" t="s">
        <v>307</v>
      </c>
    </row>
    <row r="106" spans="1:8" s="13" customFormat="1" ht="42.6" customHeight="1" thickBot="1" x14ac:dyDescent="0.3">
      <c r="A106" s="53" t="s">
        <v>83</v>
      </c>
      <c r="B106" s="23" t="s">
        <v>146</v>
      </c>
      <c r="C106" s="355"/>
      <c r="D106" s="356"/>
      <c r="E106" s="35"/>
      <c r="F106" s="133"/>
      <c r="G106" s="220"/>
      <c r="H106" s="220"/>
    </row>
    <row r="107" spans="1:8" s="13" customFormat="1" ht="26.25" thickBot="1" x14ac:dyDescent="0.3">
      <c r="A107" s="50" t="s">
        <v>34</v>
      </c>
      <c r="B107" s="30" t="s">
        <v>107</v>
      </c>
      <c r="C107" s="310" t="s">
        <v>30</v>
      </c>
      <c r="D107" s="311"/>
      <c r="E107" s="34"/>
      <c r="F107" s="133" t="s">
        <v>325</v>
      </c>
      <c r="G107" s="133" t="s">
        <v>325</v>
      </c>
      <c r="H107" s="133" t="s">
        <v>325</v>
      </c>
    </row>
    <row r="108" spans="1:8" s="13" customFormat="1" ht="54.6" customHeight="1" thickBot="1" x14ac:dyDescent="0.3">
      <c r="A108" s="50" t="s">
        <v>35</v>
      </c>
      <c r="B108" s="30" t="s">
        <v>97</v>
      </c>
      <c r="C108" s="298"/>
      <c r="D108" s="299"/>
      <c r="E108" s="35"/>
      <c r="F108" s="133"/>
      <c r="G108" s="133"/>
      <c r="H108" s="133"/>
    </row>
    <row r="109" spans="1:8" s="13" customFormat="1" ht="39" thickBot="1" x14ac:dyDescent="0.3">
      <c r="A109" s="50" t="s">
        <v>36</v>
      </c>
      <c r="B109" s="30" t="s">
        <v>84</v>
      </c>
      <c r="C109" s="310" t="s">
        <v>99</v>
      </c>
      <c r="D109" s="311"/>
      <c r="E109" s="34"/>
      <c r="F109" s="133" t="s">
        <v>326</v>
      </c>
      <c r="G109" s="133" t="s">
        <v>326</v>
      </c>
      <c r="H109" s="133" t="s">
        <v>326</v>
      </c>
    </row>
    <row r="110" spans="1:8" s="13" customFormat="1" ht="12.75" customHeight="1" x14ac:dyDescent="0.25">
      <c r="A110" s="284" t="s">
        <v>60</v>
      </c>
      <c r="B110" s="286" t="s">
        <v>133</v>
      </c>
      <c r="C110" s="288" t="s">
        <v>208</v>
      </c>
      <c r="D110" s="289"/>
      <c r="E110" s="34"/>
      <c r="F110" s="134" t="s">
        <v>259</v>
      </c>
      <c r="G110" s="218" t="s">
        <v>259</v>
      </c>
      <c r="H110" s="218" t="s">
        <v>259</v>
      </c>
    </row>
    <row r="111" spans="1:8" s="13" customFormat="1" ht="12.6" customHeight="1" x14ac:dyDescent="0.25">
      <c r="A111" s="292"/>
      <c r="B111" s="293"/>
      <c r="C111" s="294" t="s">
        <v>207</v>
      </c>
      <c r="D111" s="295"/>
      <c r="E111" s="34"/>
      <c r="F111" s="127">
        <v>5512</v>
      </c>
      <c r="G111" s="210">
        <v>5512</v>
      </c>
      <c r="H111" s="210">
        <v>5512</v>
      </c>
    </row>
    <row r="112" spans="1:8" s="13" customFormat="1" ht="12.6" customHeight="1" x14ac:dyDescent="0.25">
      <c r="A112" s="292"/>
      <c r="B112" s="293"/>
      <c r="C112" s="294" t="s">
        <v>114</v>
      </c>
      <c r="D112" s="295"/>
      <c r="E112" s="34"/>
      <c r="F112" s="127">
        <v>7372115810</v>
      </c>
      <c r="G112" s="210">
        <v>7372115810</v>
      </c>
      <c r="H112" s="210">
        <v>7372115810</v>
      </c>
    </row>
    <row r="113" spans="1:8" s="13" customFormat="1" ht="30.75" customHeight="1" thickBot="1" x14ac:dyDescent="0.3">
      <c r="A113" s="285"/>
      <c r="B113" s="287"/>
      <c r="C113" s="290" t="s">
        <v>115</v>
      </c>
      <c r="D113" s="291"/>
      <c r="E113" s="34"/>
      <c r="F113" s="135" t="s">
        <v>327</v>
      </c>
      <c r="G113" s="217" t="s">
        <v>327</v>
      </c>
      <c r="H113" s="217" t="s">
        <v>327</v>
      </c>
    </row>
    <row r="114" spans="1:8" s="13" customFormat="1" ht="12.75" customHeight="1" x14ac:dyDescent="0.25">
      <c r="A114" s="284" t="s">
        <v>61</v>
      </c>
      <c r="B114" s="286" t="s">
        <v>211</v>
      </c>
      <c r="C114" s="288" t="s">
        <v>210</v>
      </c>
      <c r="D114" s="289"/>
      <c r="E114" s="34"/>
      <c r="F114" s="134" t="s">
        <v>259</v>
      </c>
      <c r="G114" s="218" t="s">
        <v>259</v>
      </c>
      <c r="H114" s="218" t="s">
        <v>259</v>
      </c>
    </row>
    <row r="115" spans="1:8" s="13" customFormat="1" ht="12.6" customHeight="1" x14ac:dyDescent="0.25">
      <c r="A115" s="292"/>
      <c r="B115" s="293"/>
      <c r="C115" s="294" t="s">
        <v>209</v>
      </c>
      <c r="D115" s="295"/>
      <c r="E115" s="34"/>
      <c r="F115" s="126">
        <v>5677</v>
      </c>
      <c r="G115" s="219">
        <v>5677</v>
      </c>
      <c r="H115" s="219">
        <v>5677</v>
      </c>
    </row>
    <row r="116" spans="1:8" s="13" customFormat="1" ht="12.6" customHeight="1" x14ac:dyDescent="0.25">
      <c r="A116" s="292"/>
      <c r="B116" s="293"/>
      <c r="C116" s="294" t="s">
        <v>208</v>
      </c>
      <c r="D116" s="295"/>
      <c r="E116" s="34"/>
      <c r="F116" s="126" t="s">
        <v>259</v>
      </c>
      <c r="G116" s="210" t="s">
        <v>259</v>
      </c>
      <c r="H116" s="210" t="s">
        <v>259</v>
      </c>
    </row>
    <row r="117" spans="1:8" s="13" customFormat="1" ht="12.6" customHeight="1" x14ac:dyDescent="0.25">
      <c r="A117" s="292"/>
      <c r="B117" s="293"/>
      <c r="C117" s="294" t="s">
        <v>207</v>
      </c>
      <c r="D117" s="295"/>
      <c r="E117" s="34"/>
      <c r="F117" s="127">
        <v>5677</v>
      </c>
      <c r="G117" s="210">
        <v>5677</v>
      </c>
      <c r="H117" s="210">
        <v>5677</v>
      </c>
    </row>
    <row r="118" spans="1:8" s="13" customFormat="1" ht="12.6" customHeight="1" x14ac:dyDescent="0.25">
      <c r="A118" s="292"/>
      <c r="B118" s="293"/>
      <c r="C118" s="294" t="s">
        <v>112</v>
      </c>
      <c r="D118" s="295"/>
      <c r="E118" s="34"/>
      <c r="F118" s="127">
        <v>7372115809</v>
      </c>
      <c r="G118" s="210">
        <v>7372115809</v>
      </c>
      <c r="H118" s="210">
        <v>7372115809</v>
      </c>
    </row>
    <row r="119" spans="1:8" s="13" customFormat="1" ht="12.6" customHeight="1" x14ac:dyDescent="0.25">
      <c r="A119" s="292"/>
      <c r="B119" s="293"/>
      <c r="C119" s="294" t="s">
        <v>113</v>
      </c>
      <c r="D119" s="295"/>
      <c r="E119" s="34"/>
      <c r="F119" s="126" t="s">
        <v>320</v>
      </c>
      <c r="G119" s="216" t="s">
        <v>320</v>
      </c>
      <c r="H119" s="216" t="s">
        <v>320</v>
      </c>
    </row>
    <row r="120" spans="1:8" s="13" customFormat="1" ht="12.6" customHeight="1" x14ac:dyDescent="0.25">
      <c r="A120" s="292"/>
      <c r="B120" s="293"/>
      <c r="C120" s="294" t="s">
        <v>114</v>
      </c>
      <c r="D120" s="295"/>
      <c r="E120" s="34"/>
      <c r="F120" s="126">
        <v>7372115809</v>
      </c>
      <c r="G120" s="210">
        <v>7372115809</v>
      </c>
      <c r="H120" s="210">
        <v>7372115809</v>
      </c>
    </row>
    <row r="121" spans="1:8" s="13" customFormat="1" ht="12.95" customHeight="1" thickBot="1" x14ac:dyDescent="0.3">
      <c r="A121" s="285"/>
      <c r="B121" s="287"/>
      <c r="C121" s="290" t="s">
        <v>115</v>
      </c>
      <c r="D121" s="291"/>
      <c r="E121" s="34"/>
      <c r="F121" s="135" t="s">
        <v>320</v>
      </c>
      <c r="G121" s="217" t="s">
        <v>320</v>
      </c>
      <c r="H121" s="217" t="s">
        <v>320</v>
      </c>
    </row>
    <row r="122" spans="1:8" s="13" customFormat="1" ht="146.44999999999999" customHeight="1" thickBot="1" x14ac:dyDescent="0.3">
      <c r="A122" s="54" t="s">
        <v>86</v>
      </c>
      <c r="B122" s="18" t="s">
        <v>143</v>
      </c>
      <c r="C122" s="310" t="s">
        <v>104</v>
      </c>
      <c r="D122" s="311"/>
      <c r="E122" s="34"/>
      <c r="F122" s="134" t="s">
        <v>328</v>
      </c>
      <c r="G122" s="133" t="s">
        <v>328</v>
      </c>
      <c r="H122" s="133" t="s">
        <v>328</v>
      </c>
    </row>
    <row r="123" spans="1:8" ht="168.95" customHeight="1" thickBot="1" x14ac:dyDescent="0.25">
      <c r="A123" s="50" t="s">
        <v>85</v>
      </c>
      <c r="B123" s="14" t="s">
        <v>170</v>
      </c>
      <c r="C123" s="310" t="s">
        <v>104</v>
      </c>
      <c r="D123" s="311"/>
      <c r="E123" s="34"/>
      <c r="F123" s="133" t="s">
        <v>182</v>
      </c>
      <c r="G123" s="133" t="s">
        <v>182</v>
      </c>
      <c r="H123" s="133" t="s">
        <v>182</v>
      </c>
    </row>
    <row r="124" spans="1:8" ht="24.95" customHeight="1" x14ac:dyDescent="0.2">
      <c r="A124" s="284" t="s">
        <v>13</v>
      </c>
      <c r="B124" s="286" t="s">
        <v>98</v>
      </c>
      <c r="C124" s="288" t="s">
        <v>30</v>
      </c>
      <c r="D124" s="289"/>
      <c r="E124" s="34"/>
      <c r="F124" s="134" t="s">
        <v>329</v>
      </c>
      <c r="G124" s="134" t="s">
        <v>329</v>
      </c>
      <c r="H124" s="134" t="s">
        <v>329</v>
      </c>
    </row>
    <row r="125" spans="1:8" ht="30.6" customHeight="1" thickBot="1" x14ac:dyDescent="0.25">
      <c r="A125" s="285"/>
      <c r="B125" s="287"/>
      <c r="C125" s="290" t="s">
        <v>109</v>
      </c>
      <c r="D125" s="291"/>
      <c r="E125" s="34"/>
      <c r="F125" s="135" t="s">
        <v>258</v>
      </c>
      <c r="G125" s="135" t="s">
        <v>258</v>
      </c>
      <c r="H125" s="135" t="s">
        <v>258</v>
      </c>
    </row>
    <row r="126" spans="1:8" ht="70.5" customHeight="1" thickBot="1" x14ac:dyDescent="0.25">
      <c r="A126" s="50" t="s">
        <v>37</v>
      </c>
      <c r="B126" s="30" t="s">
        <v>135</v>
      </c>
      <c r="C126" s="298"/>
      <c r="D126" s="299"/>
      <c r="E126" s="35"/>
      <c r="F126" s="133" t="s">
        <v>330</v>
      </c>
      <c r="G126" s="220" t="s">
        <v>330</v>
      </c>
      <c r="H126" s="220" t="s">
        <v>330</v>
      </c>
    </row>
    <row r="127" spans="1:8" ht="42.95" customHeight="1" thickBot="1" x14ac:dyDescent="0.25">
      <c r="A127" s="50" t="s">
        <v>38</v>
      </c>
      <c r="B127" s="30" t="s">
        <v>87</v>
      </c>
      <c r="C127" s="298"/>
      <c r="D127" s="299"/>
      <c r="E127" s="35"/>
      <c r="F127" s="133"/>
      <c r="G127" s="133"/>
      <c r="H127" s="133"/>
    </row>
    <row r="128" spans="1:8" ht="18.95" customHeight="1" thickBot="1" x14ac:dyDescent="0.25">
      <c r="A128" s="50" t="s">
        <v>206</v>
      </c>
      <c r="B128" s="30" t="s">
        <v>205</v>
      </c>
      <c r="C128" s="310"/>
      <c r="D128" s="311"/>
      <c r="E128" s="34"/>
      <c r="F128" s="133" t="s">
        <v>188</v>
      </c>
      <c r="G128" s="133"/>
      <c r="H128" s="133"/>
    </row>
    <row r="129" spans="1:8" ht="30" customHeight="1" thickBot="1" x14ac:dyDescent="0.25">
      <c r="A129" s="50" t="s">
        <v>39</v>
      </c>
      <c r="B129" s="30" t="s">
        <v>106</v>
      </c>
      <c r="C129" s="310" t="s">
        <v>105</v>
      </c>
      <c r="D129" s="311"/>
      <c r="E129" s="34"/>
      <c r="F129" s="133" t="s">
        <v>331</v>
      </c>
      <c r="G129" s="133" t="s">
        <v>331</v>
      </c>
      <c r="H129" s="133" t="s">
        <v>331</v>
      </c>
    </row>
    <row r="130" spans="1:8" ht="12.6" customHeight="1" x14ac:dyDescent="0.2">
      <c r="A130" s="284" t="s">
        <v>88</v>
      </c>
      <c r="B130" s="286" t="s">
        <v>148</v>
      </c>
      <c r="C130" s="288" t="s">
        <v>100</v>
      </c>
      <c r="D130" s="289"/>
      <c r="E130" s="34"/>
      <c r="F130" s="134" t="s">
        <v>257</v>
      </c>
      <c r="G130" s="134" t="s">
        <v>340</v>
      </c>
      <c r="H130" s="134" t="s">
        <v>340</v>
      </c>
    </row>
    <row r="131" spans="1:8" ht="108" customHeight="1" thickBot="1" x14ac:dyDescent="0.25">
      <c r="A131" s="285"/>
      <c r="B131" s="287"/>
      <c r="C131" s="290" t="s">
        <v>110</v>
      </c>
      <c r="D131" s="291"/>
      <c r="E131" s="34"/>
      <c r="F131" s="221" t="s">
        <v>332</v>
      </c>
      <c r="G131" s="223" t="s">
        <v>332</v>
      </c>
      <c r="H131" s="223" t="s">
        <v>332</v>
      </c>
    </row>
    <row r="132" spans="1:8" ht="30" customHeight="1" thickBot="1" x14ac:dyDescent="0.25">
      <c r="A132" s="50" t="s">
        <v>40</v>
      </c>
      <c r="B132" s="30" t="s">
        <v>137</v>
      </c>
      <c r="C132" s="310" t="s">
        <v>100</v>
      </c>
      <c r="D132" s="311"/>
      <c r="E132" s="34"/>
      <c r="F132" s="135" t="s">
        <v>333</v>
      </c>
      <c r="G132" s="220" t="s">
        <v>333</v>
      </c>
      <c r="H132" s="220" t="s">
        <v>333</v>
      </c>
    </row>
    <row r="133" spans="1:8" ht="54.95" customHeight="1" thickBot="1" x14ac:dyDescent="0.25">
      <c r="A133" s="50" t="s">
        <v>14</v>
      </c>
      <c r="B133" s="30" t="s">
        <v>138</v>
      </c>
      <c r="C133" s="310" t="s">
        <v>139</v>
      </c>
      <c r="D133" s="311"/>
      <c r="E133" s="34"/>
      <c r="F133" s="133" t="s">
        <v>334</v>
      </c>
      <c r="G133" s="133" t="s">
        <v>334</v>
      </c>
      <c r="H133" s="133" t="s">
        <v>334</v>
      </c>
    </row>
    <row r="134" spans="1:8" ht="69.95" customHeight="1" thickBot="1" x14ac:dyDescent="0.25">
      <c r="A134" s="50" t="s">
        <v>91</v>
      </c>
      <c r="B134" s="30" t="s">
        <v>144</v>
      </c>
      <c r="C134" s="310" t="s">
        <v>100</v>
      </c>
      <c r="D134" s="311"/>
      <c r="E134" s="34"/>
      <c r="F134" s="133" t="s">
        <v>336</v>
      </c>
      <c r="G134" s="133" t="s">
        <v>336</v>
      </c>
      <c r="H134" s="133" t="s">
        <v>336</v>
      </c>
    </row>
    <row r="135" spans="1:8" ht="69.95" customHeight="1" thickBot="1" x14ac:dyDescent="0.25">
      <c r="A135" s="50" t="s">
        <v>92</v>
      </c>
      <c r="B135" s="30" t="s">
        <v>145</v>
      </c>
      <c r="C135" s="298"/>
      <c r="D135" s="299"/>
      <c r="E135" s="35"/>
      <c r="F135" s="133"/>
      <c r="G135" s="133"/>
      <c r="H135" s="133"/>
    </row>
  </sheetData>
  <sheetProtection algorithmName="SHA-512" hashValue="zqon+2SDxZJ5jRgMHuemBjqsSjngK0+Nw6j3RsJLPtqnm7ryjkVzvZDkL40FMjuagKgDOaD9DPWjvm7bjRG7XQ==" saltValue="yhdec5sqWn/PKyjFq0g6Xw==" spinCount="100000" sheet="1" objects="1" scenarios="1"/>
  <dataConsolidate/>
  <mergeCells count="154">
    <mergeCell ref="A101:D101"/>
    <mergeCell ref="A110:A113"/>
    <mergeCell ref="B110:B113"/>
    <mergeCell ref="C110:D110"/>
    <mergeCell ref="C111:D111"/>
    <mergeCell ref="C112:D112"/>
    <mergeCell ref="C113:D113"/>
    <mergeCell ref="C132:D132"/>
    <mergeCell ref="C133:D133"/>
    <mergeCell ref="C134:D134"/>
    <mergeCell ref="C120:D120"/>
    <mergeCell ref="C121:D121"/>
    <mergeCell ref="C108:D108"/>
    <mergeCell ref="C109:D109"/>
    <mergeCell ref="A114:A121"/>
    <mergeCell ref="B114:B121"/>
    <mergeCell ref="C114:D114"/>
    <mergeCell ref="C115:D115"/>
    <mergeCell ref="C116:D116"/>
    <mergeCell ref="C117:D117"/>
    <mergeCell ref="C118:D118"/>
    <mergeCell ref="C119:D119"/>
    <mergeCell ref="A130:A131"/>
    <mergeCell ref="B130:B131"/>
    <mergeCell ref="C130:D130"/>
    <mergeCell ref="C131:D131"/>
    <mergeCell ref="C122:D122"/>
    <mergeCell ref="C123:D123"/>
    <mergeCell ref="A124:A125"/>
    <mergeCell ref="B124:B125"/>
    <mergeCell ref="C124:D124"/>
    <mergeCell ref="C125:D125"/>
    <mergeCell ref="A99:D99"/>
    <mergeCell ref="A100:D100"/>
    <mergeCell ref="A102:D102"/>
    <mergeCell ref="A104:D104"/>
    <mergeCell ref="C135:D135"/>
    <mergeCell ref="C35:D35"/>
    <mergeCell ref="C126:D126"/>
    <mergeCell ref="C127:D127"/>
    <mergeCell ref="C128:D128"/>
    <mergeCell ref="C129:D129"/>
    <mergeCell ref="A89:D89"/>
    <mergeCell ref="A90:D90"/>
    <mergeCell ref="A91:D91"/>
    <mergeCell ref="C105:D105"/>
    <mergeCell ref="C106:D106"/>
    <mergeCell ref="C107:D107"/>
    <mergeCell ref="A95:D95"/>
    <mergeCell ref="A96:D96"/>
    <mergeCell ref="A97:D97"/>
    <mergeCell ref="A98:D98"/>
    <mergeCell ref="C76:D76"/>
    <mergeCell ref="A92:D92"/>
    <mergeCell ref="A93:D93"/>
    <mergeCell ref="A94:D94"/>
    <mergeCell ref="A83:D83"/>
    <mergeCell ref="A84:D84"/>
    <mergeCell ref="A85:D85"/>
    <mergeCell ref="A86:D86"/>
    <mergeCell ref="A87:D87"/>
    <mergeCell ref="A88:D88"/>
    <mergeCell ref="C77:D77"/>
    <mergeCell ref="C78:D78"/>
    <mergeCell ref="C79:D79"/>
    <mergeCell ref="C80:D80"/>
    <mergeCell ref="A82:D82"/>
    <mergeCell ref="C71:D71"/>
    <mergeCell ref="C72:D72"/>
    <mergeCell ref="C73:D73"/>
    <mergeCell ref="C74:D74"/>
    <mergeCell ref="C75:D75"/>
    <mergeCell ref="C64:D64"/>
    <mergeCell ref="C65:D65"/>
    <mergeCell ref="C66:D66"/>
    <mergeCell ref="C67:D67"/>
    <mergeCell ref="C68:D68"/>
    <mergeCell ref="A69:A70"/>
    <mergeCell ref="B69:B70"/>
    <mergeCell ref="C69:D69"/>
    <mergeCell ref="C70:D70"/>
    <mergeCell ref="C56:D56"/>
    <mergeCell ref="C57:D57"/>
    <mergeCell ref="A58:A59"/>
    <mergeCell ref="B58:B59"/>
    <mergeCell ref="C58:D58"/>
    <mergeCell ref="C59:D59"/>
    <mergeCell ref="A60:A62"/>
    <mergeCell ref="B60:B62"/>
    <mergeCell ref="C60:D60"/>
    <mergeCell ref="C61:D61"/>
    <mergeCell ref="C62:D62"/>
    <mergeCell ref="C63:D63"/>
    <mergeCell ref="C44:D44"/>
    <mergeCell ref="A53:A55"/>
    <mergeCell ref="B53:B55"/>
    <mergeCell ref="C53:D53"/>
    <mergeCell ref="C54:D54"/>
    <mergeCell ref="C55:D55"/>
    <mergeCell ref="C48:D48"/>
    <mergeCell ref="C49:D49"/>
    <mergeCell ref="C50:D50"/>
    <mergeCell ref="C51:D51"/>
    <mergeCell ref="C52:D52"/>
    <mergeCell ref="A45:A52"/>
    <mergeCell ref="B45:B52"/>
    <mergeCell ref="C45:D45"/>
    <mergeCell ref="C46:D46"/>
    <mergeCell ref="C47:D47"/>
    <mergeCell ref="A36:A37"/>
    <mergeCell ref="B36:B37"/>
    <mergeCell ref="C36:D36"/>
    <mergeCell ref="C37:D37"/>
    <mergeCell ref="A27:A28"/>
    <mergeCell ref="B27:B28"/>
    <mergeCell ref="C27:D27"/>
    <mergeCell ref="B21:D21"/>
    <mergeCell ref="B22:D22"/>
    <mergeCell ref="A24:D24"/>
    <mergeCell ref="C25:D25"/>
    <mergeCell ref="C26:D26"/>
    <mergeCell ref="C28:D28"/>
    <mergeCell ref="C29:D29"/>
    <mergeCell ref="A30:A34"/>
    <mergeCell ref="B30:B34"/>
    <mergeCell ref="C30:D30"/>
    <mergeCell ref="C31:D31"/>
    <mergeCell ref="C32:D32"/>
    <mergeCell ref="A41:A43"/>
    <mergeCell ref="B41:B43"/>
    <mergeCell ref="C41:D41"/>
    <mergeCell ref="C42:D42"/>
    <mergeCell ref="C43:D43"/>
    <mergeCell ref="A38:A39"/>
    <mergeCell ref="B38:B39"/>
    <mergeCell ref="C38:D38"/>
    <mergeCell ref="C39:D39"/>
    <mergeCell ref="C40:D40"/>
    <mergeCell ref="A19:D19"/>
    <mergeCell ref="C33:D33"/>
    <mergeCell ref="C34:D34"/>
    <mergeCell ref="A3:D3"/>
    <mergeCell ref="A4:D4"/>
    <mergeCell ref="A6:D6"/>
    <mergeCell ref="B8:D8"/>
    <mergeCell ref="B13:D13"/>
    <mergeCell ref="B14:D14"/>
    <mergeCell ref="B15:D15"/>
    <mergeCell ref="B16:D16"/>
    <mergeCell ref="B17:D17"/>
    <mergeCell ref="B9:D9"/>
    <mergeCell ref="B10:D10"/>
    <mergeCell ref="B11:D11"/>
    <mergeCell ref="B12:D12"/>
  </mergeCells>
  <conditionalFormatting sqref="C56 C65">
    <cfRule type="expression" dxfId="115" priority="164">
      <formula>#REF!="NO"</formula>
    </cfRule>
  </conditionalFormatting>
  <conditionalFormatting sqref="C41:D43">
    <cfRule type="expression" dxfId="114" priority="151">
      <formula>$F$2="NO"</formula>
    </cfRule>
  </conditionalFormatting>
  <conditionalFormatting sqref="C26:E40">
    <cfRule type="expression" dxfId="113" priority="153">
      <formula>#REF!="NO"</formula>
    </cfRule>
  </conditionalFormatting>
  <conditionalFormatting sqref="C44:E80">
    <cfRule type="expression" dxfId="112" priority="150">
      <formula>#REF!="NO"</formula>
    </cfRule>
  </conditionalFormatting>
  <conditionalFormatting sqref="C106:E127">
    <cfRule type="expression" dxfId="111" priority="159">
      <formula>#REF!="NO"</formula>
    </cfRule>
  </conditionalFormatting>
  <conditionalFormatting sqref="C129:E135">
    <cfRule type="expression" dxfId="110" priority="163">
      <formula>#REF!="NO"</formula>
    </cfRule>
  </conditionalFormatting>
  <conditionalFormatting sqref="C128:F128">
    <cfRule type="expression" dxfId="109" priority="154">
      <formula>#REF!="NO"</formula>
    </cfRule>
  </conditionalFormatting>
  <conditionalFormatting sqref="E41:E43">
    <cfRule type="expression" dxfId="108" priority="152">
      <formula>#REF!="NO"</formula>
    </cfRule>
  </conditionalFormatting>
  <conditionalFormatting sqref="E84:H102">
    <cfRule type="expression" dxfId="107" priority="1">
      <formula>#REF!="NO"</formula>
    </cfRule>
  </conditionalFormatting>
  <conditionalFormatting sqref="F8:F17">
    <cfRule type="expression" dxfId="106" priority="145">
      <formula>#REF!="NO"</formula>
    </cfRule>
  </conditionalFormatting>
  <conditionalFormatting sqref="F21">
    <cfRule type="expression" dxfId="105" priority="149">
      <formula>#REF!="NO"</formula>
    </cfRule>
  </conditionalFormatting>
  <conditionalFormatting sqref="F26:F80">
    <cfRule type="expression" dxfId="104" priority="129">
      <formula>#REF!="NO"</formula>
    </cfRule>
  </conditionalFormatting>
  <conditionalFormatting sqref="F106:F135">
    <cfRule type="expression" dxfId="103" priority="125">
      <formula>#REF!="NO"</formula>
    </cfRule>
  </conditionalFormatting>
  <conditionalFormatting sqref="F21:H22">
    <cfRule type="expression" dxfId="102" priority="65">
      <formula>#REF!="NO"</formula>
    </cfRule>
  </conditionalFormatting>
  <conditionalFormatting sqref="G8:H8">
    <cfRule type="expression" dxfId="101" priority="72">
      <formula>$F$2="NO"</formula>
    </cfRule>
  </conditionalFormatting>
  <conditionalFormatting sqref="G9:H9">
    <cfRule type="expression" dxfId="100" priority="70">
      <formula>#REF!="NO"</formula>
    </cfRule>
  </conditionalFormatting>
  <conditionalFormatting sqref="G10:H16">
    <cfRule type="expression" dxfId="99" priority="74">
      <formula>$F$2="NO"</formula>
    </cfRule>
  </conditionalFormatting>
  <conditionalFormatting sqref="G17:H17">
    <cfRule type="expression" dxfId="98" priority="148">
      <formula>#REF!="NO"</formula>
    </cfRule>
  </conditionalFormatting>
  <conditionalFormatting sqref="G21:H21">
    <cfRule type="expression" dxfId="97" priority="68">
      <formula>$F$2="NO"</formula>
    </cfRule>
  </conditionalFormatting>
  <conditionalFormatting sqref="G22:H22">
    <cfRule type="expression" dxfId="96" priority="66">
      <formula>#REF!="NO"</formula>
    </cfRule>
  </conditionalFormatting>
  <conditionalFormatting sqref="G26:H28">
    <cfRule type="expression" dxfId="95" priority="48">
      <formula>#REF!="NO"</formula>
    </cfRule>
  </conditionalFormatting>
  <conditionalFormatting sqref="G29:H80">
    <cfRule type="expression" dxfId="94" priority="49">
      <formula>$F$2="NO"</formula>
    </cfRule>
  </conditionalFormatting>
  <conditionalFormatting sqref="G56:H57">
    <cfRule type="expression" dxfId="93" priority="57">
      <formula>#REF!="NO"</formula>
    </cfRule>
  </conditionalFormatting>
  <conditionalFormatting sqref="G65:H65">
    <cfRule type="expression" dxfId="92" priority="63">
      <formula>#REF!="NO"</formula>
    </cfRule>
  </conditionalFormatting>
  <conditionalFormatting sqref="G106:H122">
    <cfRule type="expression" dxfId="91" priority="24">
      <formula>$F$2="NO"</formula>
    </cfRule>
  </conditionalFormatting>
  <conditionalFormatting sqref="G123:H123">
    <cfRule type="expression" dxfId="90" priority="25">
      <formula>#REF!="NO"</formula>
    </cfRule>
  </conditionalFormatting>
  <conditionalFormatting sqref="G124:H135">
    <cfRule type="expression" dxfId="89" priority="26">
      <formula>$F$2="NO"</formula>
    </cfRule>
  </conditionalFormatting>
  <dataValidations count="3">
    <dataValidation type="decimal" operator="greaterThanOrEqual" allowBlank="1" showInputMessage="1" showErrorMessage="1" error="The Pickup Allowance cannot be a negative number." sqref="F16:H16" xr:uid="{00000000-0002-0000-0200-000002000000}">
      <formula1>0</formula1>
    </dataValidation>
    <dataValidation type="decimal" allowBlank="1" showInputMessage="1" showErrorMessage="1" error="Invalid Entry - Bidder must enter a value that is greater than $0" sqref="F21:H21" xr:uid="{00000000-0002-0000-0200-000001000000}">
      <formula1>0</formula1>
      <formula2>9E+21</formula2>
    </dataValidation>
    <dataValidation type="decimal" allowBlank="1" showInputMessage="1" showErrorMessage="1" error="The Additional Options NYS Discount entered must be greater than 0%, or less than or equal to 100%." sqref="F22:H22" xr:uid="{00000000-0002-0000-0200-000000000000}">
      <formula1>0.01</formula1>
      <formula2>100</formula2>
    </dataValidation>
  </dataValidations>
  <pageMargins left="0.25" right="0.25" top="0.5" bottom="0.25" header="0.3" footer="0.3"/>
  <pageSetup scale="72" fitToHeight="0" orientation="landscape" r:id="rId1"/>
  <rowBreaks count="2" manualBreakCount="2">
    <brk id="57" max="6" man="1"/>
    <brk id="102"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00ACA-D272-49D6-AEAF-BCF01D08DA59}">
  <sheetPr>
    <tabColor theme="5" tint="0.59999389629810485"/>
    <pageSetUpPr fitToPage="1"/>
  </sheetPr>
  <dimension ref="A1:G128"/>
  <sheetViews>
    <sheetView showGridLines="0" zoomScaleNormal="100" zoomScaleSheetLayoutView="90" zoomScalePageLayoutView="90" workbookViewId="0">
      <selection activeCell="A3" sqref="A3:D3"/>
    </sheetView>
  </sheetViews>
  <sheetFormatPr defaultRowHeight="15" x14ac:dyDescent="0.25"/>
  <cols>
    <col min="1" max="1" width="19.140625" customWidth="1"/>
    <col min="2" max="2" width="62.85546875" customWidth="1"/>
    <col min="3" max="3" width="14.7109375" customWidth="1"/>
    <col min="4" max="4" width="20.7109375" customWidth="1"/>
    <col min="5" max="5" width="2.7109375" customWidth="1"/>
    <col min="6" max="6" width="25.85546875" style="116" customWidth="1"/>
  </cols>
  <sheetData>
    <row r="1" spans="1:7" s="2" customFormat="1" ht="18" customHeight="1" x14ac:dyDescent="0.2">
      <c r="A1" s="235" t="str">
        <f>'A (Item 2-G)'!$A$1</f>
        <v>GROUP 40524-23254, SCHOOL BUSES (Statewide)                                                             Attachment 1 - Specifications and Pricing (Revised October 15, 2026)</v>
      </c>
      <c r="F1" s="107"/>
    </row>
    <row r="2" spans="1:7" ht="15.75" thickBot="1" x14ac:dyDescent="0.3">
      <c r="A2" s="144" t="s">
        <v>373</v>
      </c>
      <c r="B2" s="26"/>
      <c r="C2" s="26"/>
      <c r="D2" s="26"/>
      <c r="E2" s="26"/>
      <c r="F2" s="143"/>
      <c r="G2" s="25"/>
    </row>
    <row r="3" spans="1:7" ht="24" thickBot="1" x14ac:dyDescent="0.3">
      <c r="A3" s="345" t="s">
        <v>302</v>
      </c>
      <c r="B3" s="346"/>
      <c r="C3" s="346"/>
      <c r="D3" s="347"/>
    </row>
    <row r="4" spans="1:7" ht="48.6" customHeight="1" thickBot="1" x14ac:dyDescent="0.3">
      <c r="A4" s="273" t="s">
        <v>301</v>
      </c>
      <c r="B4" s="359"/>
      <c r="C4" s="359"/>
      <c r="D4" s="360"/>
    </row>
    <row r="5" spans="1:7" ht="15.75" thickBot="1" x14ac:dyDescent="0.3">
      <c r="A5" s="57"/>
      <c r="B5" s="57"/>
      <c r="C5" s="57"/>
      <c r="D5" s="57"/>
      <c r="E5" s="57"/>
      <c r="F5" s="123"/>
    </row>
    <row r="6" spans="1:7" ht="16.5" thickBot="1" x14ac:dyDescent="0.3">
      <c r="A6" s="276" t="s">
        <v>151</v>
      </c>
      <c r="B6" s="277"/>
      <c r="C6" s="277"/>
      <c r="D6" s="278"/>
      <c r="E6" s="36"/>
      <c r="F6" s="113" t="s">
        <v>262</v>
      </c>
    </row>
    <row r="7" spans="1:7" ht="15.75" thickBot="1" x14ac:dyDescent="0.3">
      <c r="A7" s="82" t="s">
        <v>6</v>
      </c>
      <c r="B7" s="81" t="s">
        <v>165</v>
      </c>
      <c r="C7" s="80"/>
      <c r="D7" s="79"/>
      <c r="E7" s="37"/>
      <c r="F7" s="97" t="s">
        <v>212</v>
      </c>
    </row>
    <row r="8" spans="1:7" ht="54.95" customHeight="1" thickTop="1" thickBot="1" x14ac:dyDescent="0.3">
      <c r="A8" s="42" t="s">
        <v>9</v>
      </c>
      <c r="B8" s="267" t="s">
        <v>152</v>
      </c>
      <c r="C8" s="268"/>
      <c r="D8" s="269"/>
      <c r="E8" s="13"/>
      <c r="F8" s="207" t="s">
        <v>355</v>
      </c>
    </row>
    <row r="9" spans="1:7" ht="44.1" customHeight="1" thickTop="1" thickBot="1" x14ac:dyDescent="0.3">
      <c r="A9" s="42" t="s">
        <v>234</v>
      </c>
      <c r="B9" s="267" t="s">
        <v>235</v>
      </c>
      <c r="C9" s="268"/>
      <c r="D9" s="269"/>
      <c r="F9" s="127" t="s">
        <v>341</v>
      </c>
    </row>
    <row r="10" spans="1:7" ht="15.75" thickTop="1" x14ac:dyDescent="0.25">
      <c r="A10" s="43" t="s">
        <v>0</v>
      </c>
      <c r="B10" s="258" t="s">
        <v>154</v>
      </c>
      <c r="C10" s="259"/>
      <c r="D10" s="260"/>
      <c r="E10" s="13"/>
      <c r="F10" s="127" t="s">
        <v>285</v>
      </c>
    </row>
    <row r="11" spans="1:7" x14ac:dyDescent="0.25">
      <c r="A11" s="43" t="s">
        <v>1</v>
      </c>
      <c r="B11" s="258" t="s">
        <v>233</v>
      </c>
      <c r="C11" s="259"/>
      <c r="D11" s="260"/>
      <c r="E11" s="13"/>
      <c r="F11" s="127" t="s">
        <v>284</v>
      </c>
    </row>
    <row r="12" spans="1:7" ht="15.75" customHeight="1" thickBot="1" x14ac:dyDescent="0.3">
      <c r="A12" s="44" t="s">
        <v>2</v>
      </c>
      <c r="B12" s="261" t="s">
        <v>155</v>
      </c>
      <c r="C12" s="262"/>
      <c r="D12" s="263"/>
      <c r="E12" s="13"/>
      <c r="F12" s="128" t="s">
        <v>299</v>
      </c>
    </row>
    <row r="13" spans="1:7" ht="15.75" thickTop="1" x14ac:dyDescent="0.25">
      <c r="A13" s="43" t="s">
        <v>3</v>
      </c>
      <c r="B13" s="258" t="s">
        <v>157</v>
      </c>
      <c r="C13" s="259"/>
      <c r="D13" s="260"/>
      <c r="E13" s="13"/>
      <c r="F13" s="127" t="s">
        <v>285</v>
      </c>
    </row>
    <row r="14" spans="1:7" x14ac:dyDescent="0.25">
      <c r="A14" s="43" t="s">
        <v>4</v>
      </c>
      <c r="B14" s="258" t="s">
        <v>232</v>
      </c>
      <c r="C14" s="259"/>
      <c r="D14" s="260"/>
      <c r="E14" s="13"/>
      <c r="F14" s="127" t="s">
        <v>284</v>
      </c>
    </row>
    <row r="15" spans="1:7" ht="15.75" thickBot="1" x14ac:dyDescent="0.3">
      <c r="A15" s="45" t="s">
        <v>5</v>
      </c>
      <c r="B15" s="261" t="s">
        <v>158</v>
      </c>
      <c r="C15" s="262"/>
      <c r="D15" s="263"/>
      <c r="E15" s="13"/>
      <c r="F15" s="129" t="s">
        <v>299</v>
      </c>
    </row>
    <row r="16" spans="1:7" ht="29.45" customHeight="1" thickTop="1" x14ac:dyDescent="0.25">
      <c r="A16" s="43" t="s">
        <v>101</v>
      </c>
      <c r="B16" s="264" t="s">
        <v>231</v>
      </c>
      <c r="C16" s="265"/>
      <c r="D16" s="266"/>
      <c r="E16" s="13"/>
      <c r="F16" s="130">
        <v>0</v>
      </c>
    </row>
    <row r="17" spans="1:6" ht="29.1" customHeight="1" thickBot="1" x14ac:dyDescent="0.3">
      <c r="A17" s="45" t="s">
        <v>43</v>
      </c>
      <c r="B17" s="261" t="s">
        <v>230</v>
      </c>
      <c r="C17" s="262"/>
      <c r="D17" s="263"/>
      <c r="E17" s="13"/>
      <c r="F17" s="129" t="s">
        <v>317</v>
      </c>
    </row>
    <row r="18" spans="1:6" ht="16.5" thickTop="1" thickBot="1" x14ac:dyDescent="0.3"/>
    <row r="19" spans="1:6" ht="16.5" thickBot="1" x14ac:dyDescent="0.3">
      <c r="A19" s="276" t="s">
        <v>150</v>
      </c>
      <c r="B19" s="277"/>
      <c r="C19" s="277"/>
      <c r="D19" s="278"/>
      <c r="E19" s="36"/>
      <c r="F19" s="113" t="s">
        <v>262</v>
      </c>
    </row>
    <row r="20" spans="1:6" ht="15.75" thickBot="1" x14ac:dyDescent="0.3">
      <c r="A20" s="55" t="s">
        <v>6</v>
      </c>
      <c r="B20" s="31" t="s">
        <v>165</v>
      </c>
      <c r="C20" s="33"/>
      <c r="D20" s="48"/>
      <c r="E20" s="37"/>
      <c r="F20" s="97" t="s">
        <v>212</v>
      </c>
    </row>
    <row r="21" spans="1:6" ht="51.95" customHeight="1" x14ac:dyDescent="0.25">
      <c r="A21" s="46" t="s">
        <v>42</v>
      </c>
      <c r="B21" s="279" t="s">
        <v>161</v>
      </c>
      <c r="C21" s="280"/>
      <c r="D21" s="281"/>
      <c r="E21" s="13"/>
      <c r="F21" s="208">
        <f>370482*('PPI Adj'!D6)</f>
        <v>432352.49400000001</v>
      </c>
    </row>
    <row r="22" spans="1:6" ht="26.25" thickBot="1" x14ac:dyDescent="0.3">
      <c r="A22" s="47" t="s">
        <v>41</v>
      </c>
      <c r="B22" s="300" t="s">
        <v>163</v>
      </c>
      <c r="C22" s="301"/>
      <c r="D22" s="302"/>
      <c r="E22" s="1"/>
      <c r="F22" s="209">
        <v>16</v>
      </c>
    </row>
    <row r="23" spans="1:6" ht="15.75" thickBot="1" x14ac:dyDescent="0.3"/>
    <row r="24" spans="1:6" ht="16.5" thickBot="1" x14ac:dyDescent="0.3">
      <c r="A24" s="303" t="s">
        <v>164</v>
      </c>
      <c r="B24" s="304"/>
      <c r="C24" s="304"/>
      <c r="D24" s="305"/>
      <c r="E24" s="38"/>
      <c r="F24" s="113" t="s">
        <v>262</v>
      </c>
    </row>
    <row r="25" spans="1:6" ht="15.75" thickBot="1" x14ac:dyDescent="0.3">
      <c r="A25" s="55" t="s">
        <v>6</v>
      </c>
      <c r="B25" s="56" t="s">
        <v>7</v>
      </c>
      <c r="C25" s="306" t="s">
        <v>165</v>
      </c>
      <c r="D25" s="307"/>
      <c r="E25" s="39"/>
      <c r="F25" s="97" t="s">
        <v>212</v>
      </c>
    </row>
    <row r="26" spans="1:6" ht="81" customHeight="1" thickBot="1" x14ac:dyDescent="0.3">
      <c r="A26" s="49" t="s">
        <v>8</v>
      </c>
      <c r="B26" s="29" t="s">
        <v>282</v>
      </c>
      <c r="C26" s="282" t="s">
        <v>118</v>
      </c>
      <c r="D26" s="283"/>
      <c r="E26" s="34"/>
      <c r="F26" s="135">
        <v>30280</v>
      </c>
    </row>
    <row r="27" spans="1:6" x14ac:dyDescent="0.25">
      <c r="A27" s="284" t="s">
        <v>21</v>
      </c>
      <c r="B27" s="286" t="s">
        <v>290</v>
      </c>
      <c r="C27" s="288" t="s">
        <v>67</v>
      </c>
      <c r="D27" s="289"/>
      <c r="E27" s="34"/>
      <c r="F27" s="134">
        <v>8</v>
      </c>
    </row>
    <row r="28" spans="1:6" ht="15" customHeight="1" thickBot="1" x14ac:dyDescent="0.3">
      <c r="A28" s="285"/>
      <c r="B28" s="287"/>
      <c r="C28" s="282" t="s">
        <v>68</v>
      </c>
      <c r="D28" s="283"/>
      <c r="E28" s="34"/>
      <c r="F28" s="135">
        <v>48</v>
      </c>
    </row>
    <row r="29" spans="1:6" ht="15.75" thickBot="1" x14ac:dyDescent="0.3">
      <c r="A29" s="50" t="s">
        <v>123</v>
      </c>
      <c r="B29" s="30" t="s">
        <v>108</v>
      </c>
      <c r="C29" s="298"/>
      <c r="D29" s="299"/>
      <c r="E29" s="35"/>
      <c r="F29" s="133"/>
    </row>
    <row r="30" spans="1:6" ht="14.45" customHeight="1" x14ac:dyDescent="0.25">
      <c r="A30" s="284" t="s">
        <v>59</v>
      </c>
      <c r="B30" s="286"/>
      <c r="C30" s="288" t="s">
        <v>58</v>
      </c>
      <c r="D30" s="289"/>
      <c r="E30" s="34"/>
      <c r="F30" s="134">
        <v>218</v>
      </c>
    </row>
    <row r="31" spans="1:6" ht="14.45" customHeight="1" x14ac:dyDescent="0.25">
      <c r="A31" s="292"/>
      <c r="B31" s="293"/>
      <c r="C31" s="294" t="s">
        <v>57</v>
      </c>
      <c r="D31" s="295"/>
      <c r="E31" s="34"/>
      <c r="F31" s="127">
        <v>381.14</v>
      </c>
    </row>
    <row r="32" spans="1:6" ht="14.45" customHeight="1" x14ac:dyDescent="0.25">
      <c r="A32" s="292"/>
      <c r="B32" s="293"/>
      <c r="C32" s="294" t="s">
        <v>69</v>
      </c>
      <c r="D32" s="295"/>
      <c r="E32" s="34"/>
      <c r="F32" s="127">
        <v>90</v>
      </c>
    </row>
    <row r="33" spans="1:6" ht="14.45" customHeight="1" x14ac:dyDescent="0.25">
      <c r="A33" s="292"/>
      <c r="B33" s="293"/>
      <c r="C33" s="296" t="s">
        <v>70</v>
      </c>
      <c r="D33" s="297"/>
      <c r="E33" s="34"/>
      <c r="F33" s="127">
        <v>78</v>
      </c>
    </row>
    <row r="34" spans="1:6" ht="15.75" thickBot="1" x14ac:dyDescent="0.3">
      <c r="A34" s="285"/>
      <c r="B34" s="287"/>
      <c r="C34" s="282" t="s">
        <v>111</v>
      </c>
      <c r="D34" s="283"/>
      <c r="E34" s="34"/>
      <c r="F34" s="135">
        <v>191.49</v>
      </c>
    </row>
    <row r="35" spans="1:6" ht="15.75" thickBot="1" x14ac:dyDescent="0.3">
      <c r="A35" s="50" t="s">
        <v>229</v>
      </c>
      <c r="B35" s="30" t="s">
        <v>228</v>
      </c>
      <c r="C35" s="298"/>
      <c r="D35" s="299"/>
      <c r="E35" s="35"/>
      <c r="F35" s="133"/>
    </row>
    <row r="36" spans="1:6" ht="14.45" customHeight="1" x14ac:dyDescent="0.25">
      <c r="A36" s="284" t="s">
        <v>11</v>
      </c>
      <c r="B36" s="286"/>
      <c r="C36" s="288" t="s">
        <v>24</v>
      </c>
      <c r="D36" s="289"/>
      <c r="E36" s="34"/>
      <c r="F36" s="134">
        <v>10000</v>
      </c>
    </row>
    <row r="37" spans="1:6" ht="15" customHeight="1" thickBot="1" x14ac:dyDescent="0.3">
      <c r="A37" s="285"/>
      <c r="B37" s="287"/>
      <c r="C37" s="282" t="s">
        <v>22</v>
      </c>
      <c r="D37" s="283"/>
      <c r="E37" s="34"/>
      <c r="F37" s="135">
        <v>10000</v>
      </c>
    </row>
    <row r="38" spans="1:6" ht="14.45" customHeight="1" x14ac:dyDescent="0.25">
      <c r="A38" s="284" t="s">
        <v>16</v>
      </c>
      <c r="B38" s="286"/>
      <c r="C38" s="288" t="s">
        <v>24</v>
      </c>
      <c r="D38" s="289"/>
      <c r="E38" s="34"/>
      <c r="F38" s="134">
        <v>20280</v>
      </c>
    </row>
    <row r="39" spans="1:6" ht="15" customHeight="1" thickBot="1" x14ac:dyDescent="0.3">
      <c r="A39" s="285"/>
      <c r="B39" s="287"/>
      <c r="C39" s="290" t="s">
        <v>23</v>
      </c>
      <c r="D39" s="291"/>
      <c r="E39" s="34"/>
      <c r="F39" s="135">
        <v>21000</v>
      </c>
    </row>
    <row r="40" spans="1:6" ht="15.75" thickBot="1" x14ac:dyDescent="0.3">
      <c r="A40" s="50" t="s">
        <v>52</v>
      </c>
      <c r="B40" s="30" t="s">
        <v>53</v>
      </c>
      <c r="C40" s="298"/>
      <c r="D40" s="299"/>
      <c r="E40" s="35"/>
      <c r="F40" s="133"/>
    </row>
    <row r="41" spans="1:6" ht="14.45" customHeight="1" x14ac:dyDescent="0.25">
      <c r="A41" s="284" t="s">
        <v>224</v>
      </c>
      <c r="B41" s="286" t="s">
        <v>227</v>
      </c>
      <c r="C41" s="288" t="s">
        <v>226</v>
      </c>
      <c r="D41" s="289"/>
      <c r="E41" s="34"/>
      <c r="F41" s="134" t="s">
        <v>297</v>
      </c>
    </row>
    <row r="42" spans="1:6" ht="14.45" customHeight="1" x14ac:dyDescent="0.25">
      <c r="A42" s="292"/>
      <c r="B42" s="293"/>
      <c r="C42" s="294" t="s">
        <v>225</v>
      </c>
      <c r="D42" s="295"/>
      <c r="E42" s="34"/>
      <c r="F42" s="127" t="s">
        <v>296</v>
      </c>
    </row>
    <row r="43" spans="1:6" ht="78.95" customHeight="1" thickBot="1" x14ac:dyDescent="0.3">
      <c r="A43" s="285"/>
      <c r="B43" s="293"/>
      <c r="C43" s="290"/>
      <c r="D43" s="291"/>
      <c r="E43" s="34"/>
      <c r="F43" s="136"/>
    </row>
    <row r="44" spans="1:6" ht="27.6" customHeight="1" thickBot="1" x14ac:dyDescent="0.3">
      <c r="A44" s="50" t="s">
        <v>224</v>
      </c>
      <c r="B44" s="30" t="s">
        <v>223</v>
      </c>
      <c r="C44" s="298"/>
      <c r="D44" s="299"/>
      <c r="E44" s="35"/>
      <c r="F44" s="133"/>
    </row>
    <row r="45" spans="1:6" ht="15" customHeight="1" thickBot="1" x14ac:dyDescent="0.3">
      <c r="A45" s="308" t="s">
        <v>12</v>
      </c>
      <c r="B45" s="309" t="s">
        <v>142</v>
      </c>
      <c r="C45" s="288" t="s">
        <v>174</v>
      </c>
      <c r="D45" s="289"/>
      <c r="E45" s="34"/>
      <c r="F45" s="134" t="s">
        <v>342</v>
      </c>
    </row>
    <row r="46" spans="1:6" ht="15" customHeight="1" thickBot="1" x14ac:dyDescent="0.3">
      <c r="A46" s="308"/>
      <c r="B46" s="309"/>
      <c r="C46" s="294" t="s">
        <v>175</v>
      </c>
      <c r="D46" s="295"/>
      <c r="E46" s="34"/>
      <c r="F46" s="127" t="s">
        <v>343</v>
      </c>
    </row>
    <row r="47" spans="1:6" ht="15" customHeight="1" thickBot="1" x14ac:dyDescent="0.3">
      <c r="A47" s="308"/>
      <c r="B47" s="309"/>
      <c r="C47" s="294" t="s">
        <v>176</v>
      </c>
      <c r="D47" s="295"/>
      <c r="E47" s="34"/>
      <c r="F47" s="126" t="s">
        <v>344</v>
      </c>
    </row>
    <row r="48" spans="1:6" ht="15" customHeight="1" thickBot="1" x14ac:dyDescent="0.3">
      <c r="A48" s="308"/>
      <c r="B48" s="309"/>
      <c r="C48" s="294" t="s">
        <v>177</v>
      </c>
      <c r="D48" s="295"/>
      <c r="E48" s="34"/>
      <c r="F48" s="127" t="s">
        <v>345</v>
      </c>
    </row>
    <row r="49" spans="1:6" ht="15" customHeight="1" thickBot="1" x14ac:dyDescent="0.3">
      <c r="A49" s="308"/>
      <c r="B49" s="309"/>
      <c r="C49" s="294" t="s">
        <v>112</v>
      </c>
      <c r="D49" s="295"/>
      <c r="E49" s="34"/>
      <c r="F49" s="127">
        <v>7752528132</v>
      </c>
    </row>
    <row r="50" spans="1:6" ht="15" customHeight="1" thickBot="1" x14ac:dyDescent="0.3">
      <c r="A50" s="308"/>
      <c r="B50" s="309"/>
      <c r="C50" s="294" t="s">
        <v>113</v>
      </c>
      <c r="D50" s="295"/>
      <c r="E50" s="34"/>
      <c r="F50" s="127" t="s">
        <v>295</v>
      </c>
    </row>
    <row r="51" spans="1:6" ht="15" customHeight="1" thickBot="1" x14ac:dyDescent="0.3">
      <c r="A51" s="308"/>
      <c r="B51" s="309"/>
      <c r="C51" s="296" t="s">
        <v>114</v>
      </c>
      <c r="D51" s="297"/>
      <c r="E51" s="34"/>
      <c r="F51" s="127">
        <v>7752528132</v>
      </c>
    </row>
    <row r="52" spans="1:6" ht="15" customHeight="1" thickBot="1" x14ac:dyDescent="0.3">
      <c r="A52" s="308"/>
      <c r="B52" s="309"/>
      <c r="C52" s="282" t="s">
        <v>115</v>
      </c>
      <c r="D52" s="283"/>
      <c r="E52" s="34"/>
      <c r="F52" s="135" t="s">
        <v>295</v>
      </c>
    </row>
    <row r="53" spans="1:6" ht="14.45" customHeight="1" x14ac:dyDescent="0.25">
      <c r="A53" s="284" t="s">
        <v>10</v>
      </c>
      <c r="B53" s="286" t="s">
        <v>222</v>
      </c>
      <c r="C53" s="288" t="s">
        <v>116</v>
      </c>
      <c r="D53" s="289"/>
      <c r="E53" s="34"/>
      <c r="F53" s="134">
        <v>1</v>
      </c>
    </row>
    <row r="54" spans="1:6" ht="14.45" customHeight="1" x14ac:dyDescent="0.25">
      <c r="A54" s="292"/>
      <c r="B54" s="293"/>
      <c r="C54" s="294" t="s">
        <v>117</v>
      </c>
      <c r="D54" s="295"/>
      <c r="E54" s="34"/>
      <c r="F54" s="127" t="s">
        <v>202</v>
      </c>
    </row>
    <row r="55" spans="1:6" ht="15" customHeight="1" thickBot="1" x14ac:dyDescent="0.3">
      <c r="A55" s="292"/>
      <c r="B55" s="293"/>
      <c r="C55" s="290" t="s">
        <v>71</v>
      </c>
      <c r="D55" s="291"/>
      <c r="E55" s="34"/>
      <c r="F55" s="136" t="s">
        <v>294</v>
      </c>
    </row>
    <row r="56" spans="1:6" ht="79.5" customHeight="1" thickBot="1" x14ac:dyDescent="0.3">
      <c r="A56" s="51" t="s">
        <v>190</v>
      </c>
      <c r="B56" s="28" t="s">
        <v>191</v>
      </c>
      <c r="C56" s="296" t="s">
        <v>192</v>
      </c>
      <c r="D56" s="297"/>
      <c r="E56" s="34"/>
      <c r="F56" s="134">
        <v>135</v>
      </c>
    </row>
    <row r="57" spans="1:6" ht="55.5" customHeight="1" x14ac:dyDescent="0.25">
      <c r="A57" s="284" t="s">
        <v>26</v>
      </c>
      <c r="B57" s="286"/>
      <c r="C57" s="288" t="s">
        <v>193</v>
      </c>
      <c r="D57" s="289"/>
      <c r="E57" s="34"/>
      <c r="F57" s="134">
        <v>2</v>
      </c>
    </row>
    <row r="58" spans="1:6" x14ac:dyDescent="0.25">
      <c r="A58" s="292"/>
      <c r="B58" s="293"/>
      <c r="C58" s="294" t="s">
        <v>194</v>
      </c>
      <c r="D58" s="295"/>
      <c r="E58" s="34"/>
      <c r="F58" s="127" t="s">
        <v>346</v>
      </c>
    </row>
    <row r="59" spans="1:6" ht="15" customHeight="1" thickBot="1" x14ac:dyDescent="0.3">
      <c r="A59" s="285"/>
      <c r="B59" s="287"/>
      <c r="C59" s="282" t="s">
        <v>195</v>
      </c>
      <c r="D59" s="283"/>
      <c r="E59" s="34"/>
      <c r="F59" s="135" t="s">
        <v>347</v>
      </c>
    </row>
    <row r="60" spans="1:6" ht="15.75" thickBot="1" x14ac:dyDescent="0.3">
      <c r="A60" s="50" t="s">
        <v>44</v>
      </c>
      <c r="B60" s="30" t="s">
        <v>45</v>
      </c>
      <c r="C60" s="298"/>
      <c r="D60" s="299"/>
      <c r="E60" s="35"/>
      <c r="F60" s="137"/>
    </row>
    <row r="61" spans="1:6" ht="28.5" customHeight="1" thickBot="1" x14ac:dyDescent="0.3">
      <c r="A61" s="50" t="s">
        <v>44</v>
      </c>
      <c r="B61" s="30" t="s">
        <v>63</v>
      </c>
      <c r="C61" s="298"/>
      <c r="D61" s="299"/>
      <c r="E61" s="35"/>
      <c r="F61" s="137"/>
    </row>
    <row r="62" spans="1:6" ht="28.5" customHeight="1" thickBot="1" x14ac:dyDescent="0.3">
      <c r="A62" s="50" t="s">
        <v>44</v>
      </c>
      <c r="B62" s="30" t="s">
        <v>64</v>
      </c>
      <c r="C62" s="298"/>
      <c r="D62" s="299"/>
      <c r="E62" s="35"/>
      <c r="F62" s="137"/>
    </row>
    <row r="63" spans="1:6" ht="30" customHeight="1" thickBot="1" x14ac:dyDescent="0.3">
      <c r="A63" s="50" t="s">
        <v>50</v>
      </c>
      <c r="B63" s="30" t="s">
        <v>221</v>
      </c>
      <c r="C63" s="298"/>
      <c r="D63" s="299"/>
      <c r="E63" s="35"/>
      <c r="F63" s="137"/>
    </row>
    <row r="64" spans="1:6" ht="18.95" customHeight="1" thickBot="1" x14ac:dyDescent="0.3">
      <c r="A64" s="50" t="s">
        <v>27</v>
      </c>
      <c r="B64" s="30" t="s">
        <v>220</v>
      </c>
      <c r="C64" s="310" t="s">
        <v>77</v>
      </c>
      <c r="D64" s="311"/>
      <c r="E64" s="34"/>
      <c r="F64" s="133" t="s">
        <v>348</v>
      </c>
    </row>
    <row r="65" spans="1:6" ht="56.1" customHeight="1" thickBot="1" x14ac:dyDescent="0.3">
      <c r="A65" s="50" t="s">
        <v>219</v>
      </c>
      <c r="B65" s="30" t="s">
        <v>218</v>
      </c>
      <c r="C65" s="310"/>
      <c r="D65" s="311"/>
      <c r="E65" s="34"/>
      <c r="F65" s="133"/>
    </row>
    <row r="66" spans="1:6" ht="40.5" customHeight="1" thickBot="1" x14ac:dyDescent="0.3">
      <c r="A66" s="50" t="s">
        <v>51</v>
      </c>
      <c r="B66" s="30" t="s">
        <v>217</v>
      </c>
      <c r="C66" s="298"/>
      <c r="D66" s="299"/>
      <c r="E66" s="35"/>
      <c r="F66" s="133"/>
    </row>
    <row r="67" spans="1:6" ht="40.5" customHeight="1" thickBot="1" x14ac:dyDescent="0.3">
      <c r="A67" s="50" t="s">
        <v>54</v>
      </c>
      <c r="B67" s="30" t="s">
        <v>80</v>
      </c>
      <c r="C67" s="298"/>
      <c r="D67" s="299"/>
      <c r="E67" s="35"/>
      <c r="F67" s="133"/>
    </row>
    <row r="68" spans="1:6" ht="78.599999999999994" customHeight="1" thickBot="1" x14ac:dyDescent="0.3">
      <c r="A68" s="50" t="s">
        <v>29</v>
      </c>
      <c r="B68" s="30" t="s">
        <v>216</v>
      </c>
      <c r="C68" s="298"/>
      <c r="D68" s="299"/>
      <c r="E68" s="35"/>
      <c r="F68" s="133"/>
    </row>
    <row r="69" spans="1:6" ht="53.45" customHeight="1" thickBot="1" x14ac:dyDescent="0.3">
      <c r="A69" s="50" t="s">
        <v>31</v>
      </c>
      <c r="B69" s="30" t="s">
        <v>215</v>
      </c>
      <c r="C69" s="310" t="s">
        <v>30</v>
      </c>
      <c r="D69" s="311"/>
      <c r="E69" s="34"/>
      <c r="F69" s="133" t="s">
        <v>264</v>
      </c>
    </row>
    <row r="70" spans="1:6" ht="29.45" customHeight="1" thickBot="1" x14ac:dyDescent="0.3">
      <c r="A70" s="50" t="s">
        <v>55</v>
      </c>
      <c r="B70" s="30" t="s">
        <v>95</v>
      </c>
      <c r="C70" s="298"/>
      <c r="D70" s="299"/>
      <c r="E70" s="35"/>
      <c r="F70" s="133"/>
    </row>
    <row r="71" spans="1:6" ht="27.95" customHeight="1" thickBot="1" x14ac:dyDescent="0.3">
      <c r="A71" s="50" t="s">
        <v>32</v>
      </c>
      <c r="B71" s="30" t="s">
        <v>96</v>
      </c>
      <c r="C71" s="310" t="s">
        <v>30</v>
      </c>
      <c r="D71" s="311"/>
      <c r="E71" s="34"/>
      <c r="F71" s="133" t="s">
        <v>323</v>
      </c>
    </row>
    <row r="72" spans="1:6" ht="42.6" customHeight="1" thickBot="1" x14ac:dyDescent="0.3">
      <c r="A72" s="50" t="s">
        <v>56</v>
      </c>
      <c r="B72" s="30" t="s">
        <v>167</v>
      </c>
      <c r="C72" s="298"/>
      <c r="D72" s="299"/>
      <c r="E72" s="35"/>
      <c r="F72" s="133"/>
    </row>
    <row r="73" spans="1:6" ht="27" customHeight="1" thickBot="1" x14ac:dyDescent="0.3">
      <c r="A73" s="50" t="s">
        <v>48</v>
      </c>
      <c r="B73" s="30" t="s">
        <v>47</v>
      </c>
      <c r="C73" s="298"/>
      <c r="D73" s="299"/>
      <c r="E73" s="35"/>
      <c r="F73" s="133"/>
    </row>
    <row r="74" spans="1:6" ht="27.6" customHeight="1" thickBot="1" x14ac:dyDescent="0.3">
      <c r="A74" s="50" t="s">
        <v>49</v>
      </c>
      <c r="B74" s="30" t="s">
        <v>103</v>
      </c>
      <c r="C74" s="298" t="s">
        <v>203</v>
      </c>
      <c r="D74" s="299"/>
      <c r="E74" s="35"/>
      <c r="F74" s="133" t="s">
        <v>349</v>
      </c>
    </row>
    <row r="75" spans="1:6" ht="27.6" customHeight="1" thickBot="1" x14ac:dyDescent="0.3">
      <c r="A75" s="50" t="s">
        <v>46</v>
      </c>
      <c r="B75" s="30" t="s">
        <v>81</v>
      </c>
      <c r="C75" s="298"/>
      <c r="D75" s="299"/>
      <c r="E75" s="35"/>
      <c r="F75" s="133"/>
    </row>
    <row r="76" spans="1:6" ht="15.75" thickBot="1" x14ac:dyDescent="0.3"/>
    <row r="77" spans="1:6" ht="15.95" customHeight="1" thickBot="1" x14ac:dyDescent="0.3">
      <c r="A77" s="303" t="s">
        <v>168</v>
      </c>
      <c r="B77" s="304"/>
      <c r="C77" s="304"/>
      <c r="D77" s="305"/>
      <c r="E77" s="38"/>
      <c r="F77" s="113" t="s">
        <v>262</v>
      </c>
    </row>
    <row r="78" spans="1:6" ht="26.45" customHeight="1" thickBot="1" x14ac:dyDescent="0.3">
      <c r="A78" s="312" t="s">
        <v>169</v>
      </c>
      <c r="B78" s="313"/>
      <c r="C78" s="313"/>
      <c r="D78" s="314"/>
      <c r="E78" s="39"/>
      <c r="F78" s="97" t="s">
        <v>212</v>
      </c>
    </row>
    <row r="79" spans="1:6" ht="14.45" customHeight="1" x14ac:dyDescent="0.25">
      <c r="A79" s="315" t="s">
        <v>83</v>
      </c>
      <c r="B79" s="316"/>
      <c r="C79" s="316"/>
      <c r="D79" s="317"/>
      <c r="E79" s="35"/>
      <c r="F79" s="138">
        <f>-500*('PPI Adj'!D6)</f>
        <v>-583.5</v>
      </c>
    </row>
    <row r="80" spans="1:6" ht="14.45" customHeight="1" x14ac:dyDescent="0.25">
      <c r="A80" s="318" t="s">
        <v>34</v>
      </c>
      <c r="B80" s="319"/>
      <c r="C80" s="319"/>
      <c r="D80" s="320"/>
      <c r="E80" s="34"/>
      <c r="F80" s="139">
        <f>361*('PPI Adj'!D6)</f>
        <v>421.28700000000003</v>
      </c>
    </row>
    <row r="81" spans="1:6" x14ac:dyDescent="0.25">
      <c r="A81" s="318" t="s">
        <v>35</v>
      </c>
      <c r="B81" s="319"/>
      <c r="C81" s="319"/>
      <c r="D81" s="320"/>
      <c r="E81" s="35"/>
      <c r="F81" s="139">
        <f>525*('PPI Adj'!D6)</f>
        <v>612.67500000000007</v>
      </c>
    </row>
    <row r="82" spans="1:6" x14ac:dyDescent="0.25">
      <c r="A82" s="318" t="s">
        <v>36</v>
      </c>
      <c r="B82" s="319"/>
      <c r="C82" s="319"/>
      <c r="D82" s="320"/>
      <c r="E82" s="34"/>
      <c r="F82" s="139" t="s">
        <v>188</v>
      </c>
    </row>
    <row r="83" spans="1:6" ht="14.45" customHeight="1" x14ac:dyDescent="0.25">
      <c r="A83" s="318" t="s">
        <v>214</v>
      </c>
      <c r="B83" s="319"/>
      <c r="C83" s="319"/>
      <c r="D83" s="320"/>
      <c r="E83" s="34"/>
      <c r="F83" s="139">
        <f>550*('PPI Adj'!D6)</f>
        <v>641.85</v>
      </c>
    </row>
    <row r="84" spans="1:6" x14ac:dyDescent="0.25">
      <c r="A84" s="318" t="s">
        <v>213</v>
      </c>
      <c r="B84" s="319"/>
      <c r="C84" s="319"/>
      <c r="D84" s="320"/>
      <c r="E84" s="34"/>
      <c r="F84" s="139" t="s">
        <v>188</v>
      </c>
    </row>
    <row r="85" spans="1:6" ht="14.45" customHeight="1" x14ac:dyDescent="0.25">
      <c r="A85" s="318" t="s">
        <v>86</v>
      </c>
      <c r="B85" s="319"/>
      <c r="C85" s="319"/>
      <c r="D85" s="320"/>
      <c r="E85" s="34"/>
      <c r="F85" s="139">
        <f>300*('PPI Adj'!D6)</f>
        <v>350.1</v>
      </c>
    </row>
    <row r="86" spans="1:6" ht="14.45" customHeight="1" x14ac:dyDescent="0.25">
      <c r="A86" s="318" t="s">
        <v>85</v>
      </c>
      <c r="B86" s="319"/>
      <c r="C86" s="319"/>
      <c r="D86" s="320"/>
      <c r="E86" s="34"/>
      <c r="F86" s="139" t="s">
        <v>182</v>
      </c>
    </row>
    <row r="87" spans="1:6" x14ac:dyDescent="0.25">
      <c r="A87" s="318" t="s">
        <v>13</v>
      </c>
      <c r="B87" s="319"/>
      <c r="C87" s="319"/>
      <c r="D87" s="320"/>
      <c r="E87" s="34"/>
      <c r="F87" s="139">
        <f>8605*('PPI Adj'!D6)</f>
        <v>10042.035</v>
      </c>
    </row>
    <row r="88" spans="1:6" ht="14.45" customHeight="1" x14ac:dyDescent="0.25">
      <c r="A88" s="318" t="s">
        <v>37</v>
      </c>
      <c r="B88" s="319"/>
      <c r="C88" s="319"/>
      <c r="D88" s="320"/>
      <c r="E88" s="35"/>
      <c r="F88" s="139" t="s">
        <v>350</v>
      </c>
    </row>
    <row r="89" spans="1:6" x14ac:dyDescent="0.25">
      <c r="A89" s="318" t="s">
        <v>38</v>
      </c>
      <c r="B89" s="319"/>
      <c r="C89" s="319"/>
      <c r="D89" s="320"/>
      <c r="E89" s="35"/>
      <c r="F89" s="139">
        <f>790*('PPI Adj'!D6)</f>
        <v>921.93000000000006</v>
      </c>
    </row>
    <row r="90" spans="1:6" x14ac:dyDescent="0.25">
      <c r="A90" s="318" t="s">
        <v>206</v>
      </c>
      <c r="B90" s="319"/>
      <c r="C90" s="319"/>
      <c r="D90" s="320"/>
      <c r="E90" s="35"/>
      <c r="F90" s="139" t="s">
        <v>188</v>
      </c>
    </row>
    <row r="91" spans="1:6" x14ac:dyDescent="0.25">
      <c r="A91" s="318" t="s">
        <v>39</v>
      </c>
      <c r="B91" s="319"/>
      <c r="C91" s="319"/>
      <c r="D91" s="320"/>
      <c r="E91" s="34"/>
      <c r="F91" s="139">
        <f>48*('PPI Adj'!D6)</f>
        <v>56.016000000000005</v>
      </c>
    </row>
    <row r="92" spans="1:6" x14ac:dyDescent="0.25">
      <c r="A92" s="318" t="s">
        <v>40</v>
      </c>
      <c r="B92" s="319"/>
      <c r="C92" s="319"/>
      <c r="D92" s="320"/>
      <c r="E92" s="34"/>
      <c r="F92" s="139">
        <f>781*('PPI Adj'!D6)</f>
        <v>911.42700000000002</v>
      </c>
    </row>
    <row r="93" spans="1:6" x14ac:dyDescent="0.25">
      <c r="A93" s="318" t="s">
        <v>14</v>
      </c>
      <c r="B93" s="319"/>
      <c r="C93" s="319"/>
      <c r="D93" s="320"/>
      <c r="E93" s="34"/>
      <c r="F93" s="139">
        <f>17000*('PPI Adj'!D6)</f>
        <v>19839</v>
      </c>
    </row>
    <row r="94" spans="1:6" ht="14.45" customHeight="1" x14ac:dyDescent="0.25">
      <c r="A94" s="318" t="s">
        <v>91</v>
      </c>
      <c r="B94" s="319"/>
      <c r="C94" s="319"/>
      <c r="D94" s="320"/>
      <c r="E94" s="34"/>
      <c r="F94" s="139">
        <f>3055*('PPI Adj'!D6)</f>
        <v>3565.1849999999999</v>
      </c>
    </row>
    <row r="95" spans="1:6" ht="15" customHeight="1" thickBot="1" x14ac:dyDescent="0.3">
      <c r="A95" s="321" t="s">
        <v>92</v>
      </c>
      <c r="B95" s="322"/>
      <c r="C95" s="322"/>
      <c r="D95" s="323"/>
      <c r="E95" s="35"/>
      <c r="F95" s="140">
        <f>-946*('PPI Adj'!D6)</f>
        <v>-1103.982</v>
      </c>
    </row>
    <row r="96" spans="1:6" ht="15.75" thickBot="1" x14ac:dyDescent="0.3"/>
    <row r="97" spans="1:6" ht="15.95" customHeight="1" thickBot="1" x14ac:dyDescent="0.3">
      <c r="A97" s="303" t="s">
        <v>166</v>
      </c>
      <c r="B97" s="304"/>
      <c r="C97" s="304"/>
      <c r="D97" s="305"/>
      <c r="E97" s="38"/>
      <c r="F97" s="113" t="s">
        <v>262</v>
      </c>
    </row>
    <row r="98" spans="1:6" ht="15" customHeight="1" thickBot="1" x14ac:dyDescent="0.3">
      <c r="A98" s="52" t="s">
        <v>33</v>
      </c>
      <c r="B98" s="24" t="s">
        <v>7</v>
      </c>
      <c r="C98" s="327" t="s">
        <v>165</v>
      </c>
      <c r="D98" s="328"/>
      <c r="E98" s="39"/>
      <c r="F98" s="97" t="s">
        <v>212</v>
      </c>
    </row>
    <row r="99" spans="1:6" ht="42" customHeight="1" thickBot="1" x14ac:dyDescent="0.3">
      <c r="A99" s="53" t="s">
        <v>83</v>
      </c>
      <c r="B99" s="23" t="s">
        <v>146</v>
      </c>
      <c r="C99" s="329"/>
      <c r="D99" s="330"/>
      <c r="F99" s="133"/>
    </row>
    <row r="100" spans="1:6" ht="26.25" thickBot="1" x14ac:dyDescent="0.3">
      <c r="A100" s="50" t="s">
        <v>34</v>
      </c>
      <c r="B100" s="30" t="s">
        <v>107</v>
      </c>
      <c r="C100" s="310" t="s">
        <v>30</v>
      </c>
      <c r="D100" s="311"/>
      <c r="F100" s="133" t="s">
        <v>325</v>
      </c>
    </row>
    <row r="101" spans="1:6" ht="54.95" customHeight="1" thickBot="1" x14ac:dyDescent="0.3">
      <c r="A101" s="50" t="s">
        <v>35</v>
      </c>
      <c r="B101" s="30" t="s">
        <v>97</v>
      </c>
      <c r="C101" s="298"/>
      <c r="D101" s="299"/>
      <c r="F101" s="133"/>
    </row>
    <row r="102" spans="1:6" ht="27" customHeight="1" thickBot="1" x14ac:dyDescent="0.3">
      <c r="A102" s="50" t="s">
        <v>36</v>
      </c>
      <c r="B102" s="30" t="s">
        <v>84</v>
      </c>
      <c r="C102" s="310" t="s">
        <v>99</v>
      </c>
      <c r="D102" s="311"/>
      <c r="F102" s="133" t="s">
        <v>326</v>
      </c>
    </row>
    <row r="103" spans="1:6" ht="14.45" customHeight="1" x14ac:dyDescent="0.25">
      <c r="A103" s="284" t="s">
        <v>60</v>
      </c>
      <c r="B103" s="286" t="s">
        <v>133</v>
      </c>
      <c r="C103" s="288" t="s">
        <v>208</v>
      </c>
      <c r="D103" s="289"/>
      <c r="F103" s="134" t="s">
        <v>344</v>
      </c>
    </row>
    <row r="104" spans="1:6" ht="14.45" customHeight="1" x14ac:dyDescent="0.25">
      <c r="A104" s="292"/>
      <c r="B104" s="293"/>
      <c r="C104" s="294" t="s">
        <v>207</v>
      </c>
      <c r="D104" s="295"/>
      <c r="F104" s="127">
        <v>5070</v>
      </c>
    </row>
    <row r="105" spans="1:6" ht="14.45" customHeight="1" x14ac:dyDescent="0.25">
      <c r="A105" s="292"/>
      <c r="B105" s="293"/>
      <c r="C105" s="294" t="s">
        <v>114</v>
      </c>
      <c r="D105" s="295"/>
      <c r="F105" s="127">
        <v>7752528137</v>
      </c>
    </row>
    <row r="106" spans="1:6" ht="21.95" customHeight="1" thickBot="1" x14ac:dyDescent="0.3">
      <c r="A106" s="285"/>
      <c r="B106" s="287"/>
      <c r="C106" s="282" t="s">
        <v>115</v>
      </c>
      <c r="D106" s="283"/>
      <c r="F106" s="135" t="s">
        <v>366</v>
      </c>
    </row>
    <row r="107" spans="1:6" ht="14.45" customHeight="1" x14ac:dyDescent="0.25">
      <c r="A107" s="284" t="s">
        <v>61</v>
      </c>
      <c r="B107" s="286" t="s">
        <v>211</v>
      </c>
      <c r="C107" s="288" t="s">
        <v>210</v>
      </c>
      <c r="D107" s="289"/>
      <c r="F107" s="134" t="s">
        <v>344</v>
      </c>
    </row>
    <row r="108" spans="1:6" ht="14.45" customHeight="1" x14ac:dyDescent="0.25">
      <c r="A108" s="292"/>
      <c r="B108" s="293"/>
      <c r="C108" s="294" t="s">
        <v>209</v>
      </c>
      <c r="D108" s="295"/>
      <c r="F108" s="126" t="s">
        <v>343</v>
      </c>
    </row>
    <row r="109" spans="1:6" ht="14.45" customHeight="1" x14ac:dyDescent="0.25">
      <c r="A109" s="292"/>
      <c r="B109" s="293"/>
      <c r="C109" s="294" t="s">
        <v>208</v>
      </c>
      <c r="D109" s="295"/>
      <c r="F109" s="126" t="s">
        <v>344</v>
      </c>
    </row>
    <row r="110" spans="1:6" ht="14.45" customHeight="1" x14ac:dyDescent="0.25">
      <c r="A110" s="292"/>
      <c r="B110" s="293"/>
      <c r="C110" s="294" t="s">
        <v>207</v>
      </c>
      <c r="D110" s="295"/>
      <c r="F110" s="127" t="s">
        <v>345</v>
      </c>
    </row>
    <row r="111" spans="1:6" ht="14.45" customHeight="1" x14ac:dyDescent="0.25">
      <c r="A111" s="292"/>
      <c r="B111" s="293"/>
      <c r="C111" s="294" t="s">
        <v>112</v>
      </c>
      <c r="D111" s="295"/>
      <c r="F111" s="127">
        <v>7752528132</v>
      </c>
    </row>
    <row r="112" spans="1:6" ht="14.45" customHeight="1" x14ac:dyDescent="0.25">
      <c r="A112" s="292"/>
      <c r="B112" s="293"/>
      <c r="C112" s="294" t="s">
        <v>113</v>
      </c>
      <c r="D112" s="295"/>
      <c r="F112" s="126" t="s">
        <v>295</v>
      </c>
    </row>
    <row r="113" spans="1:6" ht="14.45" customHeight="1" x14ac:dyDescent="0.25">
      <c r="A113" s="292"/>
      <c r="B113" s="293"/>
      <c r="C113" s="294" t="s">
        <v>114</v>
      </c>
      <c r="D113" s="295"/>
      <c r="F113" s="126">
        <v>7752528132</v>
      </c>
    </row>
    <row r="114" spans="1:6" ht="15" customHeight="1" thickBot="1" x14ac:dyDescent="0.3">
      <c r="A114" s="285"/>
      <c r="B114" s="287"/>
      <c r="C114" s="282" t="s">
        <v>115</v>
      </c>
      <c r="D114" s="283"/>
      <c r="F114" s="135" t="s">
        <v>295</v>
      </c>
    </row>
    <row r="115" spans="1:6" ht="144" customHeight="1" thickBot="1" x14ac:dyDescent="0.3">
      <c r="A115" s="54" t="s">
        <v>86</v>
      </c>
      <c r="B115" s="18" t="s">
        <v>143</v>
      </c>
      <c r="C115" s="310" t="s">
        <v>104</v>
      </c>
      <c r="D115" s="311"/>
      <c r="F115" s="134" t="s">
        <v>312</v>
      </c>
    </row>
    <row r="116" spans="1:6" ht="168.95" customHeight="1" thickBot="1" x14ac:dyDescent="0.3">
      <c r="A116" s="50" t="s">
        <v>85</v>
      </c>
      <c r="B116" s="14" t="s">
        <v>170</v>
      </c>
      <c r="C116" s="310" t="s">
        <v>104</v>
      </c>
      <c r="D116" s="311"/>
      <c r="F116" s="133" t="s">
        <v>182</v>
      </c>
    </row>
    <row r="117" spans="1:6" ht="29.1" customHeight="1" x14ac:dyDescent="0.25">
      <c r="A117" s="284" t="s">
        <v>13</v>
      </c>
      <c r="B117" s="286" t="s">
        <v>98</v>
      </c>
      <c r="C117" s="288" t="s">
        <v>30</v>
      </c>
      <c r="D117" s="289"/>
      <c r="F117" s="134" t="s">
        <v>329</v>
      </c>
    </row>
    <row r="118" spans="1:6" ht="24.95" customHeight="1" thickBot="1" x14ac:dyDescent="0.3">
      <c r="A118" s="285"/>
      <c r="B118" s="287"/>
      <c r="C118" s="282" t="s">
        <v>109</v>
      </c>
      <c r="D118" s="283"/>
      <c r="F118" s="135" t="s">
        <v>258</v>
      </c>
    </row>
    <row r="119" spans="1:6" ht="67.5" customHeight="1" thickBot="1" x14ac:dyDescent="0.3">
      <c r="A119" s="50" t="s">
        <v>37</v>
      </c>
      <c r="B119" s="30" t="s">
        <v>135</v>
      </c>
      <c r="C119" s="298"/>
      <c r="D119" s="299"/>
      <c r="F119" s="133" t="s">
        <v>330</v>
      </c>
    </row>
    <row r="120" spans="1:6" ht="42" customHeight="1" thickBot="1" x14ac:dyDescent="0.3">
      <c r="A120" s="50" t="s">
        <v>38</v>
      </c>
      <c r="B120" s="30" t="s">
        <v>87</v>
      </c>
      <c r="C120" s="298"/>
      <c r="D120" s="299"/>
      <c r="F120" s="133"/>
    </row>
    <row r="121" spans="1:6" ht="15.95" customHeight="1" thickBot="1" x14ac:dyDescent="0.3">
      <c r="A121" s="50" t="s">
        <v>206</v>
      </c>
      <c r="B121" s="30" t="s">
        <v>205</v>
      </c>
      <c r="C121" s="310"/>
      <c r="D121" s="311"/>
      <c r="F121" s="133" t="s">
        <v>188</v>
      </c>
    </row>
    <row r="122" spans="1:6" ht="27.95" customHeight="1" thickBot="1" x14ac:dyDescent="0.3">
      <c r="A122" s="50" t="s">
        <v>39</v>
      </c>
      <c r="B122" s="30" t="s">
        <v>106</v>
      </c>
      <c r="C122" s="310" t="s">
        <v>105</v>
      </c>
      <c r="D122" s="311"/>
      <c r="F122" s="133" t="s">
        <v>331</v>
      </c>
    </row>
    <row r="123" spans="1:6" ht="14.45" customHeight="1" thickBot="1" x14ac:dyDescent="0.3">
      <c r="A123" s="50" t="s">
        <v>40</v>
      </c>
      <c r="B123" s="30" t="s">
        <v>137</v>
      </c>
      <c r="C123" s="310" t="s">
        <v>100</v>
      </c>
      <c r="D123" s="311"/>
      <c r="F123" s="135" t="s">
        <v>333</v>
      </c>
    </row>
    <row r="124" spans="1:6" ht="103.5" customHeight="1" x14ac:dyDescent="0.25">
      <c r="A124" s="284" t="s">
        <v>14</v>
      </c>
      <c r="B124" s="286" t="s">
        <v>138</v>
      </c>
      <c r="C124" s="288" t="s">
        <v>139</v>
      </c>
      <c r="D124" s="358"/>
      <c r="F124" s="134">
        <v>2</v>
      </c>
    </row>
    <row r="125" spans="1:6" ht="27.95" customHeight="1" thickBot="1" x14ac:dyDescent="0.3">
      <c r="A125" s="285"/>
      <c r="B125" s="287"/>
      <c r="C125" s="282" t="s">
        <v>364</v>
      </c>
      <c r="D125" s="357"/>
      <c r="F125" s="135" t="s">
        <v>365</v>
      </c>
    </row>
    <row r="126" spans="1:6" ht="54.6" customHeight="1" thickBot="1" x14ac:dyDescent="0.3">
      <c r="A126" s="50" t="s">
        <v>91</v>
      </c>
      <c r="B126" s="30" t="s">
        <v>144</v>
      </c>
      <c r="C126" s="310" t="s">
        <v>100</v>
      </c>
      <c r="D126" s="311"/>
      <c r="F126" s="133" t="s">
        <v>336</v>
      </c>
    </row>
    <row r="127" spans="1:6" ht="67.5" customHeight="1" thickBot="1" x14ac:dyDescent="0.3">
      <c r="A127" s="50" t="s">
        <v>92</v>
      </c>
      <c r="B127" s="30" t="s">
        <v>145</v>
      </c>
      <c r="C127" s="298"/>
      <c r="D127" s="299"/>
      <c r="F127" s="133"/>
    </row>
    <row r="128" spans="1:6" ht="66" customHeight="1" thickBot="1" x14ac:dyDescent="0.3">
      <c r="A128" s="50" t="s">
        <v>92</v>
      </c>
      <c r="B128" s="30" t="s">
        <v>145</v>
      </c>
      <c r="C128" s="298"/>
      <c r="D128" s="299"/>
      <c r="E128" s="35"/>
      <c r="F128" s="133"/>
    </row>
  </sheetData>
  <sheetProtection algorithmName="SHA-512" hashValue="v8aJuydNsS041udx4nIsP9y4DYlf7wACcJKCoPoKFc5139BXGfO8eIqewW4vBElTiGbGwAMxBuhxmBx8nyvRhA==" saltValue="DEYRJXfvWybaT24as+SSZg==" spinCount="100000" sheet="1" objects="1" scenarios="1"/>
  <mergeCells count="143">
    <mergeCell ref="A3:D3"/>
    <mergeCell ref="A4:D4"/>
    <mergeCell ref="A6:D6"/>
    <mergeCell ref="B8:D8"/>
    <mergeCell ref="B9:D9"/>
    <mergeCell ref="B10:D10"/>
    <mergeCell ref="B13:D13"/>
    <mergeCell ref="B14:D14"/>
    <mergeCell ref="C25:D25"/>
    <mergeCell ref="C26:D26"/>
    <mergeCell ref="A27:A28"/>
    <mergeCell ref="B27:B28"/>
    <mergeCell ref="C27:D27"/>
    <mergeCell ref="C28:D28"/>
    <mergeCell ref="B11:D11"/>
    <mergeCell ref="B12:D12"/>
    <mergeCell ref="B21:D21"/>
    <mergeCell ref="B22:D22"/>
    <mergeCell ref="A24:D24"/>
    <mergeCell ref="B15:D15"/>
    <mergeCell ref="B16:D16"/>
    <mergeCell ref="B17:D17"/>
    <mergeCell ref="A19:D19"/>
    <mergeCell ref="C40:D40"/>
    <mergeCell ref="A41:A43"/>
    <mergeCell ref="B41:B43"/>
    <mergeCell ref="C41:D41"/>
    <mergeCell ref="C29:D29"/>
    <mergeCell ref="A30:A34"/>
    <mergeCell ref="B30:B34"/>
    <mergeCell ref="C30:D30"/>
    <mergeCell ref="C31:D31"/>
    <mergeCell ref="C32:D32"/>
    <mergeCell ref="C33:D33"/>
    <mergeCell ref="C34:D34"/>
    <mergeCell ref="C35:D35"/>
    <mergeCell ref="A36:A37"/>
    <mergeCell ref="B36:B37"/>
    <mergeCell ref="C36:D36"/>
    <mergeCell ref="C37:D37"/>
    <mergeCell ref="A38:A39"/>
    <mergeCell ref="B38:B39"/>
    <mergeCell ref="C38:D38"/>
    <mergeCell ref="C39:D39"/>
    <mergeCell ref="C42:D42"/>
    <mergeCell ref="C43:D43"/>
    <mergeCell ref="C44:D44"/>
    <mergeCell ref="A45:A52"/>
    <mergeCell ref="B45:B52"/>
    <mergeCell ref="C45:D45"/>
    <mergeCell ref="C46:D46"/>
    <mergeCell ref="C47:D47"/>
    <mergeCell ref="A78:D78"/>
    <mergeCell ref="C64:D64"/>
    <mergeCell ref="C65:D65"/>
    <mergeCell ref="C66:D66"/>
    <mergeCell ref="C67:D67"/>
    <mergeCell ref="C68:D68"/>
    <mergeCell ref="C48:D48"/>
    <mergeCell ref="C49:D49"/>
    <mergeCell ref="C50:D50"/>
    <mergeCell ref="C51:D51"/>
    <mergeCell ref="C61:D61"/>
    <mergeCell ref="C62:D62"/>
    <mergeCell ref="C63:D63"/>
    <mergeCell ref="A53:A55"/>
    <mergeCell ref="B53:B55"/>
    <mergeCell ref="C53:D53"/>
    <mergeCell ref="C54:D54"/>
    <mergeCell ref="C55:D55"/>
    <mergeCell ref="C69:D69"/>
    <mergeCell ref="C70:D70"/>
    <mergeCell ref="C71:D71"/>
    <mergeCell ref="C72:D72"/>
    <mergeCell ref="C73:D73"/>
    <mergeCell ref="C74:D74"/>
    <mergeCell ref="C75:D75"/>
    <mergeCell ref="A77:D77"/>
    <mergeCell ref="C52:D52"/>
    <mergeCell ref="C56:D56"/>
    <mergeCell ref="A57:A59"/>
    <mergeCell ref="B57:B59"/>
    <mergeCell ref="C57:D57"/>
    <mergeCell ref="C58:D58"/>
    <mergeCell ref="C59:D59"/>
    <mergeCell ref="C60:D60"/>
    <mergeCell ref="A93:D93"/>
    <mergeCell ref="A94:D94"/>
    <mergeCell ref="A95:D95"/>
    <mergeCell ref="A79:D79"/>
    <mergeCell ref="A80:D80"/>
    <mergeCell ref="A81:D81"/>
    <mergeCell ref="A82:D82"/>
    <mergeCell ref="A83:D83"/>
    <mergeCell ref="A84:D84"/>
    <mergeCell ref="A85:D85"/>
    <mergeCell ref="A88:D88"/>
    <mergeCell ref="A89:D89"/>
    <mergeCell ref="A90:D90"/>
    <mergeCell ref="A91:D91"/>
    <mergeCell ref="A92:D92"/>
    <mergeCell ref="A86:D86"/>
    <mergeCell ref="A87:D87"/>
    <mergeCell ref="A103:A106"/>
    <mergeCell ref="B103:B106"/>
    <mergeCell ref="C103:D103"/>
    <mergeCell ref="C104:D104"/>
    <mergeCell ref="C105:D105"/>
    <mergeCell ref="C106:D106"/>
    <mergeCell ref="A97:D97"/>
    <mergeCell ref="C98:D98"/>
    <mergeCell ref="C99:D99"/>
    <mergeCell ref="C100:D100"/>
    <mergeCell ref="C101:D101"/>
    <mergeCell ref="C102:D102"/>
    <mergeCell ref="C115:D115"/>
    <mergeCell ref="C116:D116"/>
    <mergeCell ref="A117:A118"/>
    <mergeCell ref="B117:B118"/>
    <mergeCell ref="C117:D117"/>
    <mergeCell ref="C118:D118"/>
    <mergeCell ref="A107:A114"/>
    <mergeCell ref="B107:B114"/>
    <mergeCell ref="C107:D107"/>
    <mergeCell ref="C108:D108"/>
    <mergeCell ref="C109:D109"/>
    <mergeCell ref="C110:D110"/>
    <mergeCell ref="C111:D111"/>
    <mergeCell ref="C112:D112"/>
    <mergeCell ref="C113:D113"/>
    <mergeCell ref="C114:D114"/>
    <mergeCell ref="C125:D125"/>
    <mergeCell ref="C126:D126"/>
    <mergeCell ref="C127:D127"/>
    <mergeCell ref="C128:D128"/>
    <mergeCell ref="C119:D119"/>
    <mergeCell ref="C120:D120"/>
    <mergeCell ref="C121:D121"/>
    <mergeCell ref="C122:D122"/>
    <mergeCell ref="A124:A125"/>
    <mergeCell ref="B124:B125"/>
    <mergeCell ref="C123:D123"/>
    <mergeCell ref="C124:D124"/>
  </mergeCells>
  <conditionalFormatting sqref="C56">
    <cfRule type="expression" dxfId="88" priority="50">
      <formula>#REF!="NO"</formula>
    </cfRule>
  </conditionalFormatting>
  <conditionalFormatting sqref="C62">
    <cfRule type="expression" dxfId="87" priority="44">
      <formula>#REF!="NO"</formula>
    </cfRule>
  </conditionalFormatting>
  <conditionalFormatting sqref="C41:D43">
    <cfRule type="expression" dxfId="86" priority="56">
      <formula>$G$2="NO"</formula>
    </cfRule>
  </conditionalFormatting>
  <conditionalFormatting sqref="C99:D123 F99:F128">
    <cfRule type="expression" dxfId="85" priority="2">
      <formula>#REF!="NO"</formula>
    </cfRule>
  </conditionalFormatting>
  <conditionalFormatting sqref="C124:D124 C125">
    <cfRule type="expression" dxfId="84" priority="1">
      <formula>$F$2="NO"</formula>
    </cfRule>
  </conditionalFormatting>
  <conditionalFormatting sqref="C126:D127">
    <cfRule type="expression" dxfId="83" priority="9">
      <formula>#REF!="NO"</formula>
    </cfRule>
  </conditionalFormatting>
  <conditionalFormatting sqref="C26:E40">
    <cfRule type="expression" dxfId="82" priority="58">
      <formula>#REF!="NO"</formula>
    </cfRule>
  </conditionalFormatting>
  <conditionalFormatting sqref="C44:E52">
    <cfRule type="expression" dxfId="81" priority="55">
      <formula>#REF!="NO"</formula>
    </cfRule>
  </conditionalFormatting>
  <conditionalFormatting sqref="C128:E128">
    <cfRule type="expression" dxfId="80" priority="18">
      <formula>#REF!="NO"</formula>
    </cfRule>
  </conditionalFormatting>
  <conditionalFormatting sqref="C53:F75">
    <cfRule type="expression" dxfId="79" priority="29">
      <formula>#REF!="NO"</formula>
    </cfRule>
  </conditionalFormatting>
  <conditionalFormatting sqref="E41:E43">
    <cfRule type="expression" dxfId="78" priority="57">
      <formula>#REF!="NO"</formula>
    </cfRule>
  </conditionalFormatting>
  <conditionalFormatting sqref="E79:F95">
    <cfRule type="expression" dxfId="77" priority="19">
      <formula>#REF!="NO"</formula>
    </cfRule>
  </conditionalFormatting>
  <conditionalFormatting sqref="F8:F17">
    <cfRule type="expression" dxfId="76" priority="69">
      <formula>#REF!="NO"</formula>
    </cfRule>
  </conditionalFormatting>
  <conditionalFormatting sqref="F21:F22">
    <cfRule type="expression" dxfId="75" priority="65">
      <formula>#REF!="NO"</formula>
    </cfRule>
  </conditionalFormatting>
  <conditionalFormatting sqref="F26:F52">
    <cfRule type="expression" dxfId="74" priority="52">
      <formula>#REF!="NO"</formula>
    </cfRule>
  </conditionalFormatting>
  <conditionalFormatting sqref="F56">
    <cfRule type="expression" dxfId="73" priority="47">
      <formula>#REF!="NO"</formula>
    </cfRule>
  </conditionalFormatting>
  <pageMargins left="0.7" right="0.7" top="0.75" bottom="0.75" header="0.3" footer="0.3"/>
  <pageSetup scale="83" fitToHeight="0" orientation="landscape" r:id="rId1"/>
  <rowBreaks count="6" manualBreakCount="6">
    <brk id="23" max="16383" man="1"/>
    <brk id="44" max="16383" man="1"/>
    <brk id="64" max="5" man="1"/>
    <brk id="71" max="16383" man="1"/>
    <brk id="95" max="16383" man="1"/>
    <brk id="122"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6D2CF-F773-4F0C-8A1B-1A7635E86A71}">
  <sheetPr>
    <tabColor theme="5"/>
    <pageSetUpPr autoPageBreaks="0" fitToPage="1"/>
  </sheetPr>
  <dimension ref="A1:G135"/>
  <sheetViews>
    <sheetView showGridLines="0" topLeftCell="B1" zoomScaleNormal="100" zoomScaleSheetLayoutView="100" workbookViewId="0">
      <selection activeCell="A3" sqref="A3:D3"/>
    </sheetView>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6" width="21.5703125" style="106" bestFit="1" customWidth="1"/>
    <col min="7" max="7" width="21.5703125" style="107" bestFit="1" customWidth="1"/>
    <col min="8" max="16384" width="9.140625" style="2"/>
  </cols>
  <sheetData>
    <row r="1" spans="1:7" ht="18" customHeight="1" x14ac:dyDescent="0.2">
      <c r="A1" s="235" t="str">
        <f>'A (Item 2-G)'!$A$1</f>
        <v>GROUP 40524-23254, SCHOOL BUSES (Statewide)                                                             Attachment 1 - Specifications and Pricing (Revised October 15, 2026)</v>
      </c>
      <c r="F1" s="107"/>
    </row>
    <row r="2" spans="1:7" s="25" customFormat="1" ht="18" customHeight="1" thickBot="1" x14ac:dyDescent="0.3">
      <c r="A2" s="144" t="s">
        <v>373</v>
      </c>
      <c r="B2" s="26"/>
      <c r="C2" s="26"/>
      <c r="D2" s="26"/>
      <c r="E2" s="26"/>
      <c r="F2" s="143"/>
      <c r="G2" s="144"/>
    </row>
    <row r="3" spans="1:7" ht="24" thickBot="1" x14ac:dyDescent="0.25">
      <c r="A3" s="361" t="s">
        <v>306</v>
      </c>
      <c r="B3" s="362"/>
      <c r="C3" s="362"/>
      <c r="D3" s="363"/>
      <c r="E3" s="9"/>
      <c r="F3" s="145"/>
    </row>
    <row r="4" spans="1:7" ht="51" customHeight="1" thickBot="1" x14ac:dyDescent="0.25">
      <c r="A4" s="273" t="s">
        <v>305</v>
      </c>
      <c r="B4" s="274"/>
      <c r="C4" s="274"/>
      <c r="D4" s="275"/>
      <c r="E4" s="9"/>
      <c r="F4" s="145"/>
    </row>
    <row r="5" spans="1:7" s="4" customFormat="1" ht="11.25" customHeight="1" thickBot="1" x14ac:dyDescent="0.3">
      <c r="A5" s="57"/>
      <c r="B5" s="57"/>
      <c r="C5" s="57"/>
      <c r="D5" s="57"/>
      <c r="E5" s="57"/>
      <c r="F5" s="123"/>
      <c r="G5" s="114"/>
    </row>
    <row r="6" spans="1:7" s="8" customFormat="1" ht="16.5" customHeight="1" thickBot="1" x14ac:dyDescent="0.25">
      <c r="A6" s="276" t="s">
        <v>151</v>
      </c>
      <c r="B6" s="277"/>
      <c r="C6" s="277"/>
      <c r="D6" s="278"/>
      <c r="E6" s="36"/>
      <c r="F6" s="113" t="s">
        <v>262</v>
      </c>
      <c r="G6" s="113" t="s">
        <v>262</v>
      </c>
    </row>
    <row r="7" spans="1:7" s="4" customFormat="1" ht="15" customHeight="1" thickBot="1" x14ac:dyDescent="0.3">
      <c r="A7" s="41" t="s">
        <v>6</v>
      </c>
      <c r="B7" s="27" t="s">
        <v>165</v>
      </c>
      <c r="C7" s="32"/>
      <c r="D7" s="40"/>
      <c r="E7" s="37"/>
      <c r="F7" s="97" t="s">
        <v>19</v>
      </c>
      <c r="G7" s="97" t="s">
        <v>261</v>
      </c>
    </row>
    <row r="8" spans="1:7" ht="39.75" thickTop="1" thickBot="1" x14ac:dyDescent="0.25">
      <c r="A8" s="42" t="s">
        <v>9</v>
      </c>
      <c r="B8" s="267" t="s">
        <v>152</v>
      </c>
      <c r="C8" s="268"/>
      <c r="D8" s="269"/>
      <c r="E8" s="13"/>
      <c r="F8" s="207" t="s">
        <v>315</v>
      </c>
      <c r="G8" s="224" t="s">
        <v>316</v>
      </c>
    </row>
    <row r="9" spans="1:7" s="8" customFormat="1" ht="44.25" customHeight="1" thickTop="1" thickBot="1" x14ac:dyDescent="0.25">
      <c r="A9" s="42" t="s">
        <v>136</v>
      </c>
      <c r="B9" s="267" t="s">
        <v>196</v>
      </c>
      <c r="C9" s="268"/>
      <c r="D9" s="269"/>
      <c r="E9" s="13"/>
      <c r="F9" s="207" t="s">
        <v>351</v>
      </c>
      <c r="G9" s="224" t="s">
        <v>351</v>
      </c>
    </row>
    <row r="10" spans="1:7" ht="12.75" customHeight="1" thickTop="1" x14ac:dyDescent="0.2">
      <c r="A10" s="43" t="s">
        <v>0</v>
      </c>
      <c r="B10" s="258" t="s">
        <v>154</v>
      </c>
      <c r="C10" s="259"/>
      <c r="D10" s="260"/>
      <c r="E10" s="13"/>
      <c r="F10" s="127" t="s">
        <v>285</v>
      </c>
      <c r="G10" s="210" t="s">
        <v>285</v>
      </c>
    </row>
    <row r="11" spans="1:7" x14ac:dyDescent="0.2">
      <c r="A11" s="43" t="s">
        <v>1</v>
      </c>
      <c r="B11" s="258" t="s">
        <v>153</v>
      </c>
      <c r="C11" s="259"/>
      <c r="D11" s="260"/>
      <c r="E11" s="13"/>
      <c r="F11" s="127" t="s">
        <v>284</v>
      </c>
      <c r="G11" s="210" t="s">
        <v>284</v>
      </c>
    </row>
    <row r="12" spans="1:7" ht="12.75" customHeight="1" thickBot="1" x14ac:dyDescent="0.25">
      <c r="A12" s="44" t="s">
        <v>2</v>
      </c>
      <c r="B12" s="261" t="s">
        <v>155</v>
      </c>
      <c r="C12" s="262"/>
      <c r="D12" s="263"/>
      <c r="E12" s="13"/>
      <c r="F12" s="128" t="s">
        <v>283</v>
      </c>
      <c r="G12" s="211" t="s">
        <v>283</v>
      </c>
    </row>
    <row r="13" spans="1:7" ht="13.5" thickTop="1" x14ac:dyDescent="0.2">
      <c r="A13" s="43" t="s">
        <v>3</v>
      </c>
      <c r="B13" s="258" t="s">
        <v>157</v>
      </c>
      <c r="C13" s="259"/>
      <c r="D13" s="260"/>
      <c r="E13" s="13"/>
      <c r="F13" s="127" t="s">
        <v>285</v>
      </c>
      <c r="G13" s="210" t="s">
        <v>285</v>
      </c>
    </row>
    <row r="14" spans="1:7" x14ac:dyDescent="0.2">
      <c r="A14" s="43" t="s">
        <v>4</v>
      </c>
      <c r="B14" s="258" t="s">
        <v>156</v>
      </c>
      <c r="C14" s="259"/>
      <c r="D14" s="260"/>
      <c r="E14" s="13"/>
      <c r="F14" s="127" t="s">
        <v>284</v>
      </c>
      <c r="G14" s="210" t="s">
        <v>284</v>
      </c>
    </row>
    <row r="15" spans="1:7" ht="15.75" customHeight="1" thickBot="1" x14ac:dyDescent="0.25">
      <c r="A15" s="45" t="s">
        <v>5</v>
      </c>
      <c r="B15" s="261" t="s">
        <v>158</v>
      </c>
      <c r="C15" s="262"/>
      <c r="D15" s="263"/>
      <c r="E15" s="13"/>
      <c r="F15" s="129" t="s">
        <v>283</v>
      </c>
      <c r="G15" s="211" t="s">
        <v>283</v>
      </c>
    </row>
    <row r="16" spans="1:7" ht="29.25" customHeight="1" thickTop="1" x14ac:dyDescent="0.2">
      <c r="A16" s="43" t="s">
        <v>101</v>
      </c>
      <c r="B16" s="264" t="s">
        <v>160</v>
      </c>
      <c r="C16" s="265"/>
      <c r="D16" s="266"/>
      <c r="E16" s="13"/>
      <c r="F16" s="130">
        <v>0</v>
      </c>
      <c r="G16" s="212">
        <v>0</v>
      </c>
    </row>
    <row r="17" spans="1:7" ht="30.75" customHeight="1" thickBot="1" x14ac:dyDescent="0.25">
      <c r="A17" s="45" t="s">
        <v>43</v>
      </c>
      <c r="B17" s="261" t="s">
        <v>159</v>
      </c>
      <c r="C17" s="262"/>
      <c r="D17" s="263"/>
      <c r="E17" s="13"/>
      <c r="F17" s="129" t="s">
        <v>317</v>
      </c>
      <c r="G17" s="225" t="s">
        <v>317</v>
      </c>
    </row>
    <row r="18" spans="1:7" s="10" customFormat="1" ht="14.25" thickTop="1" thickBot="1" x14ac:dyDescent="0.25">
      <c r="C18" s="11"/>
      <c r="D18" s="11"/>
      <c r="E18" s="11"/>
      <c r="F18" s="100"/>
      <c r="G18" s="114"/>
    </row>
    <row r="19" spans="1:7" s="12" customFormat="1" ht="16.5" customHeight="1" thickBot="1" x14ac:dyDescent="0.25">
      <c r="A19" s="276" t="s">
        <v>150</v>
      </c>
      <c r="B19" s="277"/>
      <c r="C19" s="277"/>
      <c r="D19" s="278"/>
      <c r="E19" s="36"/>
      <c r="F19" s="113" t="s">
        <v>262</v>
      </c>
      <c r="G19" s="113" t="s">
        <v>262</v>
      </c>
    </row>
    <row r="20" spans="1:7" s="4" customFormat="1" ht="15" customHeight="1" thickBot="1" x14ac:dyDescent="0.3">
      <c r="A20" s="55" t="s">
        <v>6</v>
      </c>
      <c r="B20" s="31" t="s">
        <v>165</v>
      </c>
      <c r="C20" s="33"/>
      <c r="D20" s="48"/>
      <c r="E20" s="37"/>
      <c r="F20" s="97" t="s">
        <v>19</v>
      </c>
      <c r="G20" s="97" t="s">
        <v>261</v>
      </c>
    </row>
    <row r="21" spans="1:7" ht="56.25" customHeight="1" x14ac:dyDescent="0.2">
      <c r="A21" s="46" t="s">
        <v>42</v>
      </c>
      <c r="B21" s="279" t="s">
        <v>161</v>
      </c>
      <c r="C21" s="280"/>
      <c r="D21" s="281"/>
      <c r="E21" s="13"/>
      <c r="F21" s="208">
        <f>133733*('PPI Adj'!D6)</f>
        <v>156066.41099999999</v>
      </c>
      <c r="G21" s="234">
        <f>131590*('PPI Adj'!D6)</f>
        <v>153565.53</v>
      </c>
    </row>
    <row r="22" spans="1:7" ht="28.5" customHeight="1" thickBot="1" x14ac:dyDescent="0.25">
      <c r="A22" s="47" t="s">
        <v>41</v>
      </c>
      <c r="B22" s="300" t="s">
        <v>163</v>
      </c>
      <c r="C22" s="301"/>
      <c r="D22" s="302"/>
      <c r="E22" s="1"/>
      <c r="F22" s="214">
        <v>16</v>
      </c>
      <c r="G22" s="214">
        <v>16</v>
      </c>
    </row>
    <row r="23" spans="1:7" ht="13.5" thickBot="1" x14ac:dyDescent="0.25">
      <c r="A23" s="58"/>
      <c r="B23" s="1"/>
      <c r="C23" s="1"/>
      <c r="D23" s="1"/>
      <c r="E23" s="1"/>
      <c r="F23" s="102"/>
      <c r="G23" s="110"/>
    </row>
    <row r="24" spans="1:7" s="8" customFormat="1" ht="15.75" customHeight="1" thickBot="1" x14ac:dyDescent="0.25">
      <c r="A24" s="303" t="s">
        <v>164</v>
      </c>
      <c r="B24" s="304"/>
      <c r="C24" s="304"/>
      <c r="D24" s="305"/>
      <c r="E24" s="38"/>
      <c r="F24" s="113" t="s">
        <v>262</v>
      </c>
      <c r="G24" s="113" t="s">
        <v>262</v>
      </c>
    </row>
    <row r="25" spans="1:7" s="3" customFormat="1" ht="15" customHeight="1" thickBot="1" x14ac:dyDescent="0.3">
      <c r="A25" s="55" t="s">
        <v>6</v>
      </c>
      <c r="B25" s="56" t="s">
        <v>7</v>
      </c>
      <c r="C25" s="306" t="s">
        <v>165</v>
      </c>
      <c r="D25" s="307"/>
      <c r="E25" s="39"/>
      <c r="F25" s="97" t="s">
        <v>19</v>
      </c>
      <c r="G25" s="97" t="s">
        <v>261</v>
      </c>
    </row>
    <row r="26" spans="1:7" s="13" customFormat="1" ht="78.599999999999994" customHeight="1" thickBot="1" x14ac:dyDescent="0.3">
      <c r="A26" s="49" t="s">
        <v>8</v>
      </c>
      <c r="B26" s="29" t="s">
        <v>282</v>
      </c>
      <c r="C26" s="282" t="s">
        <v>118</v>
      </c>
      <c r="D26" s="283"/>
      <c r="E26" s="34"/>
      <c r="F26" s="236">
        <v>27800</v>
      </c>
      <c r="G26" s="237">
        <v>27800</v>
      </c>
    </row>
    <row r="27" spans="1:7" s="13" customFormat="1" x14ac:dyDescent="0.25">
      <c r="A27" s="284" t="s">
        <v>21</v>
      </c>
      <c r="B27" s="286" t="s">
        <v>304</v>
      </c>
      <c r="C27" s="288" t="s">
        <v>67</v>
      </c>
      <c r="D27" s="289"/>
      <c r="E27" s="34"/>
      <c r="F27" s="238">
        <v>10</v>
      </c>
      <c r="G27" s="238">
        <v>10</v>
      </c>
    </row>
    <row r="28" spans="1:7" s="13" customFormat="1" ht="13.5" thickBot="1" x14ac:dyDescent="0.3">
      <c r="A28" s="285"/>
      <c r="B28" s="287"/>
      <c r="C28" s="282" t="s">
        <v>68</v>
      </c>
      <c r="D28" s="283"/>
      <c r="E28" s="34"/>
      <c r="F28" s="236">
        <v>60</v>
      </c>
      <c r="G28" s="236">
        <v>60</v>
      </c>
    </row>
    <row r="29" spans="1:7" s="13" customFormat="1" ht="13.5" thickBot="1" x14ac:dyDescent="0.3">
      <c r="A29" s="50" t="s">
        <v>123</v>
      </c>
      <c r="B29" s="30" t="s">
        <v>108</v>
      </c>
      <c r="C29" s="298"/>
      <c r="D29" s="299"/>
      <c r="E29" s="35"/>
      <c r="F29" s="237"/>
      <c r="G29" s="237"/>
    </row>
    <row r="30" spans="1:7" s="13" customFormat="1" x14ac:dyDescent="0.25">
      <c r="A30" s="284" t="s">
        <v>59</v>
      </c>
      <c r="B30" s="286"/>
      <c r="C30" s="288" t="s">
        <v>58</v>
      </c>
      <c r="D30" s="289"/>
      <c r="E30" s="34"/>
      <c r="F30" s="238">
        <v>236</v>
      </c>
      <c r="G30" s="238">
        <v>236</v>
      </c>
    </row>
    <row r="31" spans="1:7" s="13" customFormat="1" x14ac:dyDescent="0.25">
      <c r="A31" s="292"/>
      <c r="B31" s="293"/>
      <c r="C31" s="294" t="s">
        <v>57</v>
      </c>
      <c r="D31" s="295"/>
      <c r="E31" s="34"/>
      <c r="F31" s="239">
        <v>408.14</v>
      </c>
      <c r="G31" s="239">
        <v>408.14</v>
      </c>
    </row>
    <row r="32" spans="1:7" s="13" customFormat="1" x14ac:dyDescent="0.25">
      <c r="A32" s="292"/>
      <c r="B32" s="293"/>
      <c r="C32" s="294" t="s">
        <v>69</v>
      </c>
      <c r="D32" s="295"/>
      <c r="E32" s="34"/>
      <c r="F32" s="239">
        <v>90</v>
      </c>
      <c r="G32" s="239">
        <v>90</v>
      </c>
    </row>
    <row r="33" spans="1:7" s="13" customFormat="1" x14ac:dyDescent="0.25">
      <c r="A33" s="292"/>
      <c r="B33" s="293"/>
      <c r="C33" s="296" t="s">
        <v>70</v>
      </c>
      <c r="D33" s="297"/>
      <c r="E33" s="34"/>
      <c r="F33" s="239">
        <v>78</v>
      </c>
      <c r="G33" s="239">
        <v>78</v>
      </c>
    </row>
    <row r="34" spans="1:7" s="13" customFormat="1" ht="13.5" thickBot="1" x14ac:dyDescent="0.3">
      <c r="A34" s="285"/>
      <c r="B34" s="287"/>
      <c r="C34" s="282" t="s">
        <v>111</v>
      </c>
      <c r="D34" s="283"/>
      <c r="E34" s="34"/>
      <c r="F34" s="236">
        <v>210.92</v>
      </c>
      <c r="G34" s="236">
        <v>210.92</v>
      </c>
    </row>
    <row r="35" spans="1:7" s="13" customFormat="1" ht="16.5" customHeight="1" thickBot="1" x14ac:dyDescent="0.3">
      <c r="A35" s="50" t="s">
        <v>229</v>
      </c>
      <c r="B35" s="30" t="s">
        <v>228</v>
      </c>
      <c r="C35" s="298"/>
      <c r="D35" s="299"/>
      <c r="E35" s="35"/>
      <c r="F35" s="237"/>
      <c r="G35" s="237"/>
    </row>
    <row r="36" spans="1:7" s="13" customFormat="1" x14ac:dyDescent="0.25">
      <c r="A36" s="284" t="s">
        <v>11</v>
      </c>
      <c r="B36" s="286"/>
      <c r="C36" s="288" t="s">
        <v>24</v>
      </c>
      <c r="D36" s="289"/>
      <c r="E36" s="34"/>
      <c r="F36" s="238">
        <v>8000</v>
      </c>
      <c r="G36" s="240">
        <v>8000</v>
      </c>
    </row>
    <row r="37" spans="1:7" s="13" customFormat="1" ht="13.5" thickBot="1" x14ac:dyDescent="0.3">
      <c r="A37" s="285"/>
      <c r="B37" s="287"/>
      <c r="C37" s="282" t="s">
        <v>22</v>
      </c>
      <c r="D37" s="283"/>
      <c r="E37" s="34"/>
      <c r="F37" s="236">
        <v>8000</v>
      </c>
      <c r="G37" s="241">
        <v>8000</v>
      </c>
    </row>
    <row r="38" spans="1:7" s="13" customFormat="1" x14ac:dyDescent="0.25">
      <c r="A38" s="284" t="s">
        <v>16</v>
      </c>
      <c r="B38" s="286"/>
      <c r="C38" s="288" t="s">
        <v>24</v>
      </c>
      <c r="D38" s="289"/>
      <c r="E38" s="34"/>
      <c r="F38" s="238">
        <v>19800</v>
      </c>
      <c r="G38" s="240">
        <v>19800</v>
      </c>
    </row>
    <row r="39" spans="1:7" s="13" customFormat="1" ht="13.5" thickBot="1" x14ac:dyDescent="0.3">
      <c r="A39" s="285"/>
      <c r="B39" s="287"/>
      <c r="C39" s="290" t="s">
        <v>23</v>
      </c>
      <c r="D39" s="291"/>
      <c r="E39" s="34"/>
      <c r="F39" s="236">
        <v>19800</v>
      </c>
      <c r="G39" s="241">
        <v>19800</v>
      </c>
    </row>
    <row r="40" spans="1:7" s="13" customFormat="1" ht="15.6" customHeight="1" thickBot="1" x14ac:dyDescent="0.3">
      <c r="A40" s="50" t="s">
        <v>52</v>
      </c>
      <c r="B40" s="30" t="s">
        <v>53</v>
      </c>
      <c r="C40" s="298"/>
      <c r="D40" s="299"/>
      <c r="E40" s="35"/>
      <c r="F40" s="237"/>
      <c r="G40" s="242"/>
    </row>
    <row r="41" spans="1:7" s="13" customFormat="1" x14ac:dyDescent="0.25">
      <c r="A41" s="284" t="s">
        <v>224</v>
      </c>
      <c r="B41" s="364" t="s">
        <v>227</v>
      </c>
      <c r="C41" s="288" t="s">
        <v>226</v>
      </c>
      <c r="D41" s="289"/>
      <c r="E41" s="34"/>
      <c r="F41" s="238" t="s">
        <v>280</v>
      </c>
      <c r="G41" s="240" t="s">
        <v>280</v>
      </c>
    </row>
    <row r="42" spans="1:7" s="13" customFormat="1" ht="14.45" customHeight="1" x14ac:dyDescent="0.25">
      <c r="A42" s="292"/>
      <c r="B42" s="365"/>
      <c r="C42" s="294" t="s">
        <v>225</v>
      </c>
      <c r="D42" s="295"/>
      <c r="E42" s="34"/>
      <c r="F42" s="239" t="s">
        <v>279</v>
      </c>
      <c r="G42" s="243" t="s">
        <v>279</v>
      </c>
    </row>
    <row r="43" spans="1:7" s="13" customFormat="1" ht="80.099999999999994" customHeight="1" thickBot="1" x14ac:dyDescent="0.3">
      <c r="A43" s="285"/>
      <c r="B43" s="365"/>
      <c r="C43" s="290"/>
      <c r="D43" s="291"/>
      <c r="E43" s="34"/>
      <c r="F43" s="244" t="s">
        <v>352</v>
      </c>
      <c r="G43" s="245"/>
    </row>
    <row r="44" spans="1:7" s="13" customFormat="1" ht="27.95" customHeight="1" thickBot="1" x14ac:dyDescent="0.3">
      <c r="A44" s="50" t="s">
        <v>224</v>
      </c>
      <c r="B44" s="30" t="s">
        <v>223</v>
      </c>
      <c r="C44" s="298"/>
      <c r="D44" s="299"/>
      <c r="E44" s="35"/>
      <c r="F44" s="237"/>
      <c r="G44" s="242"/>
    </row>
    <row r="45" spans="1:7" s="13" customFormat="1" ht="13.5" thickBot="1" x14ac:dyDescent="0.3">
      <c r="A45" s="308" t="s">
        <v>12</v>
      </c>
      <c r="B45" s="309" t="s">
        <v>142</v>
      </c>
      <c r="C45" s="288" t="s">
        <v>174</v>
      </c>
      <c r="D45" s="289"/>
      <c r="E45" s="34"/>
      <c r="F45" s="238" t="s">
        <v>339</v>
      </c>
      <c r="G45" s="240" t="s">
        <v>339</v>
      </c>
    </row>
    <row r="46" spans="1:7" s="13" customFormat="1" ht="13.5" thickBot="1" x14ac:dyDescent="0.3">
      <c r="A46" s="308"/>
      <c r="B46" s="309"/>
      <c r="C46" s="294" t="s">
        <v>175</v>
      </c>
      <c r="D46" s="295"/>
      <c r="E46" s="34"/>
      <c r="F46" s="239">
        <v>5677</v>
      </c>
      <c r="G46" s="243">
        <v>5677</v>
      </c>
    </row>
    <row r="47" spans="1:7" s="13" customFormat="1" ht="13.5" thickBot="1" x14ac:dyDescent="0.3">
      <c r="A47" s="308"/>
      <c r="B47" s="309"/>
      <c r="C47" s="294" t="s">
        <v>176</v>
      </c>
      <c r="D47" s="295"/>
      <c r="E47" s="34"/>
      <c r="F47" s="246" t="s">
        <v>339</v>
      </c>
      <c r="G47" s="247" t="s">
        <v>339</v>
      </c>
    </row>
    <row r="48" spans="1:7" s="13" customFormat="1" ht="13.5" thickBot="1" x14ac:dyDescent="0.3">
      <c r="A48" s="308"/>
      <c r="B48" s="309"/>
      <c r="C48" s="294" t="s">
        <v>177</v>
      </c>
      <c r="D48" s="295"/>
      <c r="E48" s="34"/>
      <c r="F48" s="239">
        <v>5355</v>
      </c>
      <c r="G48" s="243">
        <v>5355</v>
      </c>
    </row>
    <row r="49" spans="1:7" s="13" customFormat="1" ht="13.5" thickBot="1" x14ac:dyDescent="0.3">
      <c r="A49" s="308"/>
      <c r="B49" s="309"/>
      <c r="C49" s="294" t="s">
        <v>112</v>
      </c>
      <c r="D49" s="295"/>
      <c r="E49" s="34"/>
      <c r="F49" s="239">
        <v>7372115809</v>
      </c>
      <c r="G49" s="243">
        <v>7372115809</v>
      </c>
    </row>
    <row r="50" spans="1:7" s="13" customFormat="1" ht="13.5" thickBot="1" x14ac:dyDescent="0.3">
      <c r="A50" s="308"/>
      <c r="B50" s="309"/>
      <c r="C50" s="294" t="s">
        <v>113</v>
      </c>
      <c r="D50" s="295"/>
      <c r="E50" s="34"/>
      <c r="F50" s="239" t="s">
        <v>320</v>
      </c>
      <c r="G50" s="243" t="s">
        <v>320</v>
      </c>
    </row>
    <row r="51" spans="1:7" s="13" customFormat="1" ht="13.5" thickBot="1" x14ac:dyDescent="0.3">
      <c r="A51" s="308"/>
      <c r="B51" s="309"/>
      <c r="C51" s="296" t="s">
        <v>114</v>
      </c>
      <c r="D51" s="297"/>
      <c r="E51" s="34"/>
      <c r="F51" s="239">
        <v>7372115809</v>
      </c>
      <c r="G51" s="243">
        <v>7372115809</v>
      </c>
    </row>
    <row r="52" spans="1:7" s="13" customFormat="1" ht="13.5" thickBot="1" x14ac:dyDescent="0.3">
      <c r="A52" s="308"/>
      <c r="B52" s="309"/>
      <c r="C52" s="282" t="s">
        <v>115</v>
      </c>
      <c r="D52" s="283"/>
      <c r="E52" s="34"/>
      <c r="F52" s="236" t="s">
        <v>320</v>
      </c>
      <c r="G52" s="241" t="s">
        <v>320</v>
      </c>
    </row>
    <row r="53" spans="1:7" s="13" customFormat="1" x14ac:dyDescent="0.25">
      <c r="A53" s="284" t="s">
        <v>10</v>
      </c>
      <c r="B53" s="286" t="s">
        <v>222</v>
      </c>
      <c r="C53" s="288" t="s">
        <v>116</v>
      </c>
      <c r="D53" s="289"/>
      <c r="E53" s="34"/>
      <c r="F53" s="238">
        <v>6</v>
      </c>
      <c r="G53" s="240">
        <v>6</v>
      </c>
    </row>
    <row r="54" spans="1:7" s="13" customFormat="1" x14ac:dyDescent="0.25">
      <c r="A54" s="292"/>
      <c r="B54" s="293"/>
      <c r="C54" s="294" t="s">
        <v>117</v>
      </c>
      <c r="D54" s="295"/>
      <c r="E54" s="34"/>
      <c r="F54" s="239" t="s">
        <v>277</v>
      </c>
      <c r="G54" s="243" t="s">
        <v>277</v>
      </c>
    </row>
    <row r="55" spans="1:7" s="13" customFormat="1" ht="13.5" thickBot="1" x14ac:dyDescent="0.3">
      <c r="A55" s="292"/>
      <c r="B55" s="293"/>
      <c r="C55" s="290" t="s">
        <v>71</v>
      </c>
      <c r="D55" s="291"/>
      <c r="E55" s="34"/>
      <c r="F55" s="244" t="s">
        <v>321</v>
      </c>
      <c r="G55" s="245" t="s">
        <v>321</v>
      </c>
    </row>
    <row r="56" spans="1:7" s="13" customFormat="1" ht="78.599999999999994" customHeight="1" thickBot="1" x14ac:dyDescent="0.3">
      <c r="A56" s="51" t="s">
        <v>9</v>
      </c>
      <c r="B56" s="28" t="s">
        <v>276</v>
      </c>
      <c r="C56" s="296"/>
      <c r="D56" s="297"/>
      <c r="E56" s="34"/>
      <c r="F56" s="238"/>
      <c r="G56" s="240"/>
    </row>
    <row r="57" spans="1:7" s="13" customFormat="1" ht="28.5" customHeight="1" thickBot="1" x14ac:dyDescent="0.3">
      <c r="A57" s="51" t="s">
        <v>275</v>
      </c>
      <c r="B57" s="28" t="s">
        <v>274</v>
      </c>
      <c r="C57" s="298"/>
      <c r="D57" s="299"/>
      <c r="E57" s="35"/>
      <c r="F57" s="248"/>
      <c r="G57" s="240"/>
    </row>
    <row r="58" spans="1:7" s="13" customFormat="1" ht="25.5" x14ac:dyDescent="0.25">
      <c r="A58" s="284" t="s">
        <v>25</v>
      </c>
      <c r="B58" s="286" t="s">
        <v>93</v>
      </c>
      <c r="C58" s="288" t="s">
        <v>72</v>
      </c>
      <c r="D58" s="289"/>
      <c r="E58" s="34"/>
      <c r="F58" s="238" t="s">
        <v>322</v>
      </c>
      <c r="G58" s="240" t="s">
        <v>322</v>
      </c>
    </row>
    <row r="59" spans="1:7" s="13" customFormat="1" ht="61.5" customHeight="1" thickBot="1" x14ac:dyDescent="0.3">
      <c r="A59" s="285"/>
      <c r="B59" s="287"/>
      <c r="C59" s="282" t="s">
        <v>73</v>
      </c>
      <c r="D59" s="283"/>
      <c r="E59" s="34"/>
      <c r="F59" s="236">
        <v>240</v>
      </c>
      <c r="G59" s="241">
        <v>240</v>
      </c>
    </row>
    <row r="60" spans="1:7" s="13" customFormat="1" x14ac:dyDescent="0.25">
      <c r="A60" s="284" t="s">
        <v>26</v>
      </c>
      <c r="B60" s="286" t="s">
        <v>273</v>
      </c>
      <c r="C60" s="288" t="s">
        <v>74</v>
      </c>
      <c r="D60" s="289"/>
      <c r="E60" s="34"/>
      <c r="F60" s="238" t="s">
        <v>272</v>
      </c>
      <c r="G60" s="240" t="s">
        <v>272</v>
      </c>
    </row>
    <row r="61" spans="1:7" s="13" customFormat="1" x14ac:dyDescent="0.25">
      <c r="A61" s="292"/>
      <c r="B61" s="293"/>
      <c r="C61" s="294" t="s">
        <v>75</v>
      </c>
      <c r="D61" s="295"/>
      <c r="E61" s="34"/>
      <c r="F61" s="239">
        <v>3</v>
      </c>
      <c r="G61" s="243">
        <v>3</v>
      </c>
    </row>
    <row r="62" spans="1:7" s="13" customFormat="1" ht="32.25" customHeight="1" thickBot="1" x14ac:dyDescent="0.3">
      <c r="A62" s="285"/>
      <c r="B62" s="287"/>
      <c r="C62" s="282" t="s">
        <v>271</v>
      </c>
      <c r="D62" s="283"/>
      <c r="E62" s="34"/>
      <c r="F62" s="236">
        <v>2850</v>
      </c>
      <c r="G62" s="241">
        <v>2850</v>
      </c>
    </row>
    <row r="63" spans="1:7" s="13" customFormat="1" ht="17.100000000000001" customHeight="1" thickBot="1" x14ac:dyDescent="0.3">
      <c r="A63" s="50" t="s">
        <v>44</v>
      </c>
      <c r="B63" s="30" t="s">
        <v>45</v>
      </c>
      <c r="C63" s="298"/>
      <c r="D63" s="299"/>
      <c r="E63" s="35"/>
      <c r="F63" s="248"/>
      <c r="G63" s="249"/>
    </row>
    <row r="64" spans="1:7" s="13" customFormat="1" ht="28.5" customHeight="1" thickBot="1" x14ac:dyDescent="0.3">
      <c r="A64" s="50" t="s">
        <v>44</v>
      </c>
      <c r="B64" s="30" t="s">
        <v>63</v>
      </c>
      <c r="C64" s="298"/>
      <c r="D64" s="299"/>
      <c r="E64" s="35"/>
      <c r="F64" s="248"/>
      <c r="G64" s="249"/>
    </row>
    <row r="65" spans="1:7" s="13" customFormat="1" ht="27" customHeight="1" thickBot="1" x14ac:dyDescent="0.3">
      <c r="A65" s="50" t="s">
        <v>44</v>
      </c>
      <c r="B65" s="30" t="s">
        <v>64</v>
      </c>
      <c r="C65" s="298"/>
      <c r="D65" s="299"/>
      <c r="E65" s="35"/>
      <c r="F65" s="248"/>
      <c r="G65" s="249"/>
    </row>
    <row r="66" spans="1:7" s="13" customFormat="1" ht="27" customHeight="1" thickBot="1" x14ac:dyDescent="0.3">
      <c r="A66" s="50" t="s">
        <v>50</v>
      </c>
      <c r="B66" s="30" t="s">
        <v>221</v>
      </c>
      <c r="C66" s="298"/>
      <c r="D66" s="299"/>
      <c r="E66" s="35"/>
      <c r="F66" s="248"/>
      <c r="G66" s="249"/>
    </row>
    <row r="67" spans="1:7" s="13" customFormat="1" ht="15.6" customHeight="1" thickBot="1" x14ac:dyDescent="0.3">
      <c r="A67" s="50" t="s">
        <v>27</v>
      </c>
      <c r="B67" s="30" t="s">
        <v>220</v>
      </c>
      <c r="C67" s="310" t="s">
        <v>77</v>
      </c>
      <c r="D67" s="311"/>
      <c r="E67" s="34"/>
      <c r="F67" s="237" t="s">
        <v>270</v>
      </c>
      <c r="G67" s="242" t="s">
        <v>270</v>
      </c>
    </row>
    <row r="68" spans="1:7" s="13" customFormat="1" ht="53.45" customHeight="1" thickBot="1" x14ac:dyDescent="0.3">
      <c r="A68" s="50" t="s">
        <v>219</v>
      </c>
      <c r="B68" s="30" t="s">
        <v>218</v>
      </c>
      <c r="C68" s="310"/>
      <c r="D68" s="311"/>
      <c r="E68" s="34"/>
      <c r="F68" s="237"/>
      <c r="G68" s="249"/>
    </row>
    <row r="69" spans="1:7" s="13" customFormat="1" ht="15" customHeight="1" x14ac:dyDescent="0.25">
      <c r="A69" s="284" t="s">
        <v>28</v>
      </c>
      <c r="B69" s="286" t="s">
        <v>303</v>
      </c>
      <c r="C69" s="350" t="s">
        <v>267</v>
      </c>
      <c r="D69" s="289"/>
      <c r="E69" s="34"/>
      <c r="F69" s="238">
        <v>65</v>
      </c>
      <c r="G69" s="240">
        <v>65</v>
      </c>
    </row>
    <row r="70" spans="1:7" s="13" customFormat="1" ht="39" thickBot="1" x14ac:dyDescent="0.3">
      <c r="A70" s="285"/>
      <c r="B70" s="287"/>
      <c r="C70" s="351" t="s">
        <v>266</v>
      </c>
      <c r="D70" s="283"/>
      <c r="E70" s="34"/>
      <c r="F70" s="236" t="s">
        <v>265</v>
      </c>
      <c r="G70" s="241" t="s">
        <v>265</v>
      </c>
    </row>
    <row r="71" spans="1:7" s="13" customFormat="1" ht="40.5" customHeight="1" thickBot="1" x14ac:dyDescent="0.3">
      <c r="A71" s="50" t="s">
        <v>51</v>
      </c>
      <c r="B71" s="30" t="s">
        <v>217</v>
      </c>
      <c r="C71" s="298"/>
      <c r="D71" s="299"/>
      <c r="E71" s="35"/>
      <c r="F71" s="237"/>
      <c r="G71" s="242"/>
    </row>
    <row r="72" spans="1:7" s="13" customFormat="1" ht="41.1" customHeight="1" thickBot="1" x14ac:dyDescent="0.3">
      <c r="A72" s="50" t="s">
        <v>54</v>
      </c>
      <c r="B72" s="30" t="s">
        <v>80</v>
      </c>
      <c r="C72" s="298"/>
      <c r="D72" s="299"/>
      <c r="E72" s="35"/>
      <c r="F72" s="237"/>
      <c r="G72" s="242"/>
    </row>
    <row r="73" spans="1:7" s="13" customFormat="1" ht="80.099999999999994" customHeight="1" thickBot="1" x14ac:dyDescent="0.3">
      <c r="A73" s="50" t="s">
        <v>29</v>
      </c>
      <c r="B73" s="30" t="s">
        <v>216</v>
      </c>
      <c r="C73" s="298"/>
      <c r="D73" s="299"/>
      <c r="E73" s="35"/>
      <c r="F73" s="237"/>
      <c r="G73" s="242"/>
    </row>
    <row r="74" spans="1:7" s="13" customFormat="1" ht="53.1" customHeight="1" thickBot="1" x14ac:dyDescent="0.3">
      <c r="A74" s="50" t="s">
        <v>31</v>
      </c>
      <c r="B74" s="30" t="s">
        <v>215</v>
      </c>
      <c r="C74" s="310" t="s">
        <v>30</v>
      </c>
      <c r="D74" s="311"/>
      <c r="E74" s="34"/>
      <c r="F74" s="237" t="s">
        <v>264</v>
      </c>
      <c r="G74" s="242" t="s">
        <v>264</v>
      </c>
    </row>
    <row r="75" spans="1:7" s="13" customFormat="1" ht="27.95" customHeight="1" thickBot="1" x14ac:dyDescent="0.3">
      <c r="A75" s="50" t="s">
        <v>55</v>
      </c>
      <c r="B75" s="30" t="s">
        <v>95</v>
      </c>
      <c r="C75" s="298"/>
      <c r="D75" s="299"/>
      <c r="E75" s="35"/>
      <c r="F75" s="237"/>
      <c r="G75" s="242"/>
    </row>
    <row r="76" spans="1:7" s="13" customFormat="1" ht="30" customHeight="1" thickBot="1" x14ac:dyDescent="0.3">
      <c r="A76" s="50" t="s">
        <v>32</v>
      </c>
      <c r="B76" s="30" t="s">
        <v>96</v>
      </c>
      <c r="C76" s="310" t="s">
        <v>30</v>
      </c>
      <c r="D76" s="311"/>
      <c r="E76" s="34"/>
      <c r="F76" s="237" t="s">
        <v>263</v>
      </c>
      <c r="G76" s="242" t="s">
        <v>263</v>
      </c>
    </row>
    <row r="77" spans="1:7" s="13" customFormat="1" ht="39.6" customHeight="1" thickBot="1" x14ac:dyDescent="0.3">
      <c r="A77" s="50" t="s">
        <v>56</v>
      </c>
      <c r="B77" s="30" t="s">
        <v>167</v>
      </c>
      <c r="C77" s="298"/>
      <c r="D77" s="299"/>
      <c r="E77" s="35"/>
      <c r="F77" s="237"/>
      <c r="G77" s="242" t="s">
        <v>352</v>
      </c>
    </row>
    <row r="78" spans="1:7" s="13" customFormat="1" ht="29.45" customHeight="1" thickBot="1" x14ac:dyDescent="0.3">
      <c r="A78" s="50" t="s">
        <v>48</v>
      </c>
      <c r="B78" s="30" t="s">
        <v>47</v>
      </c>
      <c r="C78" s="298"/>
      <c r="D78" s="299"/>
      <c r="E78" s="35"/>
      <c r="F78" s="237"/>
      <c r="G78" s="242"/>
    </row>
    <row r="79" spans="1:7" s="13" customFormat="1" ht="30" customHeight="1" thickBot="1" x14ac:dyDescent="0.3">
      <c r="A79" s="50" t="s">
        <v>49</v>
      </c>
      <c r="B79" s="30" t="s">
        <v>103</v>
      </c>
      <c r="C79" s="298"/>
      <c r="D79" s="299"/>
      <c r="E79" s="35"/>
      <c r="F79" s="237"/>
      <c r="G79" s="242"/>
    </row>
    <row r="80" spans="1:7" s="13" customFormat="1" ht="27" customHeight="1" thickBot="1" x14ac:dyDescent="0.3">
      <c r="A80" s="50" t="s">
        <v>46</v>
      </c>
      <c r="B80" s="30" t="s">
        <v>81</v>
      </c>
      <c r="C80" s="298"/>
      <c r="D80" s="299"/>
      <c r="E80" s="35"/>
      <c r="F80" s="237"/>
      <c r="G80" s="242"/>
    </row>
    <row r="81" spans="1:7" ht="13.5" thickBot="1" x14ac:dyDescent="0.25">
      <c r="G81" s="110"/>
    </row>
    <row r="82" spans="1:7" s="17" customFormat="1" ht="18" customHeight="1" thickBot="1" x14ac:dyDescent="0.3">
      <c r="A82" s="303" t="s">
        <v>168</v>
      </c>
      <c r="B82" s="304"/>
      <c r="C82" s="304"/>
      <c r="D82" s="305"/>
      <c r="E82" s="38"/>
      <c r="F82" s="113" t="s">
        <v>262</v>
      </c>
      <c r="G82" s="113" t="s">
        <v>262</v>
      </c>
    </row>
    <row r="83" spans="1:7" s="3" customFormat="1" ht="15" customHeight="1" thickBot="1" x14ac:dyDescent="0.3">
      <c r="A83" s="312" t="s">
        <v>169</v>
      </c>
      <c r="B83" s="313"/>
      <c r="C83" s="313"/>
      <c r="D83" s="314"/>
      <c r="E83" s="39"/>
      <c r="F83" s="97" t="s">
        <v>19</v>
      </c>
      <c r="G83" s="97" t="s">
        <v>261</v>
      </c>
    </row>
    <row r="84" spans="1:7" s="13" customFormat="1" x14ac:dyDescent="0.25">
      <c r="A84" s="315" t="s">
        <v>83</v>
      </c>
      <c r="B84" s="316"/>
      <c r="C84" s="316"/>
      <c r="D84" s="317"/>
      <c r="E84" s="35"/>
      <c r="F84" s="138">
        <f>-500*('PPI Adj'!D6)</f>
        <v>-583.5</v>
      </c>
      <c r="G84" s="138">
        <f>-500*('PPI Adj'!D6)</f>
        <v>-583.5</v>
      </c>
    </row>
    <row r="85" spans="1:7" s="13" customFormat="1" x14ac:dyDescent="0.25">
      <c r="A85" s="318" t="s">
        <v>34</v>
      </c>
      <c r="B85" s="319"/>
      <c r="C85" s="319"/>
      <c r="D85" s="320"/>
      <c r="E85" s="34"/>
      <c r="F85" s="139">
        <f>361*('PPI Adj'!D6)</f>
        <v>421.28700000000003</v>
      </c>
      <c r="G85" s="139">
        <f>361*('PPI Adj'!D6)</f>
        <v>421.28700000000003</v>
      </c>
    </row>
    <row r="86" spans="1:7" s="13" customFormat="1" x14ac:dyDescent="0.25">
      <c r="A86" s="318" t="s">
        <v>35</v>
      </c>
      <c r="B86" s="319"/>
      <c r="C86" s="319"/>
      <c r="D86" s="320"/>
      <c r="E86" s="35"/>
      <c r="F86" s="139">
        <f>550*('PPI Adj'!D6)</f>
        <v>641.85</v>
      </c>
      <c r="G86" s="139">
        <f>550*('PPI Adj'!D6)</f>
        <v>641.85</v>
      </c>
    </row>
    <row r="87" spans="1:7" s="13" customFormat="1" x14ac:dyDescent="0.25">
      <c r="A87" s="318" t="s">
        <v>36</v>
      </c>
      <c r="B87" s="319"/>
      <c r="C87" s="319"/>
      <c r="D87" s="320"/>
      <c r="E87" s="34"/>
      <c r="F87" s="139" t="s">
        <v>188</v>
      </c>
      <c r="G87" s="139" t="s">
        <v>188</v>
      </c>
    </row>
    <row r="88" spans="1:7" s="13" customFormat="1" x14ac:dyDescent="0.25">
      <c r="A88" s="318" t="s">
        <v>60</v>
      </c>
      <c r="B88" s="319"/>
      <c r="C88" s="319"/>
      <c r="D88" s="320"/>
      <c r="E88" s="34"/>
      <c r="F88" s="139">
        <f>250*('PPI Adj'!D6)</f>
        <v>291.75</v>
      </c>
      <c r="G88" s="139">
        <f>250*('PPI Adj'!D6)</f>
        <v>291.75</v>
      </c>
    </row>
    <row r="89" spans="1:7" s="13" customFormat="1" x14ac:dyDescent="0.25">
      <c r="A89" s="318" t="s">
        <v>61</v>
      </c>
      <c r="B89" s="319"/>
      <c r="C89" s="319"/>
      <c r="D89" s="320"/>
      <c r="E89" s="34"/>
      <c r="F89" s="139" t="s">
        <v>188</v>
      </c>
      <c r="G89" s="139" t="s">
        <v>188</v>
      </c>
    </row>
    <row r="90" spans="1:7" s="13" customFormat="1" x14ac:dyDescent="0.25">
      <c r="A90" s="318" t="s">
        <v>86</v>
      </c>
      <c r="B90" s="319"/>
      <c r="C90" s="319"/>
      <c r="D90" s="320"/>
      <c r="E90" s="34"/>
      <c r="F90" s="139">
        <f>300*('PPI Adj'!D6)</f>
        <v>350.1</v>
      </c>
      <c r="G90" s="139">
        <f>300*('PPI Adj'!D6)</f>
        <v>350.1</v>
      </c>
    </row>
    <row r="91" spans="1:7" x14ac:dyDescent="0.2">
      <c r="A91" s="318" t="s">
        <v>85</v>
      </c>
      <c r="B91" s="319"/>
      <c r="C91" s="319"/>
      <c r="D91" s="320"/>
      <c r="E91" s="34"/>
      <c r="F91" s="139" t="s">
        <v>182</v>
      </c>
      <c r="G91" s="139" t="s">
        <v>182</v>
      </c>
    </row>
    <row r="92" spans="1:7" x14ac:dyDescent="0.2">
      <c r="A92" s="318" t="s">
        <v>13</v>
      </c>
      <c r="B92" s="319"/>
      <c r="C92" s="319"/>
      <c r="D92" s="320"/>
      <c r="E92" s="34"/>
      <c r="F92" s="139">
        <f>8605*('PPI Adj'!D6)</f>
        <v>10042.035</v>
      </c>
      <c r="G92" s="139">
        <f>8605*('PPI Adj'!D6)</f>
        <v>10042.035</v>
      </c>
    </row>
    <row r="93" spans="1:7" x14ac:dyDescent="0.2">
      <c r="A93" s="318" t="s">
        <v>37</v>
      </c>
      <c r="B93" s="319"/>
      <c r="C93" s="319"/>
      <c r="D93" s="320"/>
      <c r="E93" s="35"/>
      <c r="F93" s="139" t="s">
        <v>188</v>
      </c>
      <c r="G93" s="139" t="s">
        <v>188</v>
      </c>
    </row>
    <row r="94" spans="1:7" x14ac:dyDescent="0.2">
      <c r="A94" s="318" t="s">
        <v>38</v>
      </c>
      <c r="B94" s="319"/>
      <c r="C94" s="319"/>
      <c r="D94" s="320"/>
      <c r="E94" s="35"/>
      <c r="F94" s="139">
        <f>790*('PPI Adj'!D6)</f>
        <v>921.93000000000006</v>
      </c>
      <c r="G94" s="139">
        <f>790*('PPI Adj'!D6)</f>
        <v>921.93000000000006</v>
      </c>
    </row>
    <row r="95" spans="1:7" x14ac:dyDescent="0.2">
      <c r="A95" s="318" t="s">
        <v>206</v>
      </c>
      <c r="B95" s="319"/>
      <c r="C95" s="319"/>
      <c r="D95" s="320"/>
      <c r="E95" s="35"/>
      <c r="F95" s="139" t="s">
        <v>188</v>
      </c>
      <c r="G95" s="139" t="s">
        <v>188</v>
      </c>
    </row>
    <row r="96" spans="1:7" x14ac:dyDescent="0.2">
      <c r="A96" s="318" t="s">
        <v>39</v>
      </c>
      <c r="B96" s="319"/>
      <c r="C96" s="319"/>
      <c r="D96" s="320"/>
      <c r="E96" s="34"/>
      <c r="F96" s="139">
        <f>48*('PPI Adj'!D6)</f>
        <v>56.016000000000005</v>
      </c>
      <c r="G96" s="139">
        <f>48*('PPI Adj'!D6)</f>
        <v>56.016000000000005</v>
      </c>
    </row>
    <row r="97" spans="1:7" x14ac:dyDescent="0.2">
      <c r="A97" s="318" t="s">
        <v>88</v>
      </c>
      <c r="B97" s="319"/>
      <c r="C97" s="319"/>
      <c r="D97" s="320"/>
      <c r="E97" s="34"/>
      <c r="F97" s="139">
        <f>6902*('PPI Adj'!D6)</f>
        <v>8054.634</v>
      </c>
      <c r="G97" s="139">
        <f>6902*('PPI Adj'!D6)</f>
        <v>8054.634</v>
      </c>
    </row>
    <row r="98" spans="1:7" x14ac:dyDescent="0.2">
      <c r="A98" s="318" t="s">
        <v>40</v>
      </c>
      <c r="B98" s="319"/>
      <c r="C98" s="319"/>
      <c r="D98" s="320"/>
      <c r="E98" s="34"/>
      <c r="F98" s="139">
        <f>781*('PPI Adj'!D6)</f>
        <v>911.42700000000002</v>
      </c>
      <c r="G98" s="139">
        <f>781*('PPI Adj'!D6)</f>
        <v>911.42700000000002</v>
      </c>
    </row>
    <row r="99" spans="1:7" x14ac:dyDescent="0.2">
      <c r="A99" s="318" t="s">
        <v>14</v>
      </c>
      <c r="B99" s="319"/>
      <c r="C99" s="319"/>
      <c r="D99" s="320"/>
      <c r="E99" s="34"/>
      <c r="F99" s="139">
        <f>14206*('PPI Adj'!D6)</f>
        <v>16578.402000000002</v>
      </c>
      <c r="G99" s="139">
        <f>14206*('PPI Adj'!D6)</f>
        <v>16578.402000000002</v>
      </c>
    </row>
    <row r="100" spans="1:7" x14ac:dyDescent="0.2">
      <c r="A100" s="318" t="s">
        <v>91</v>
      </c>
      <c r="B100" s="319"/>
      <c r="C100" s="319"/>
      <c r="D100" s="320"/>
      <c r="E100" s="34"/>
      <c r="F100" s="139">
        <f>3055*('PPI Adj'!D6)</f>
        <v>3565.1849999999999</v>
      </c>
      <c r="G100" s="139">
        <f>3055*('PPI Adj'!D6)</f>
        <v>3565.1849999999999</v>
      </c>
    </row>
    <row r="101" spans="1:7" x14ac:dyDescent="0.2">
      <c r="A101" s="324" t="s">
        <v>324</v>
      </c>
      <c r="B101" s="325"/>
      <c r="C101" s="325"/>
      <c r="D101" s="326"/>
      <c r="E101" s="34"/>
      <c r="F101" s="222">
        <f>-893*('PPI Adj'!D6)</f>
        <v>-1042.1310000000001</v>
      </c>
      <c r="G101" s="222">
        <f>-893*('PPI Adj'!D6)</f>
        <v>-1042.1310000000001</v>
      </c>
    </row>
    <row r="102" spans="1:7" ht="13.5" thickBot="1" x14ac:dyDescent="0.25">
      <c r="A102" s="321" t="s">
        <v>92</v>
      </c>
      <c r="B102" s="322"/>
      <c r="C102" s="322"/>
      <c r="D102" s="323"/>
      <c r="E102" s="35"/>
      <c r="F102" s="140">
        <f>-946*('PPI Adj'!D6)</f>
        <v>-1103.982</v>
      </c>
      <c r="G102" s="140">
        <f>-946*('PPI Adj'!D6)</f>
        <v>-1103.982</v>
      </c>
    </row>
    <row r="103" spans="1:7" ht="13.5" thickBot="1" x14ac:dyDescent="0.25">
      <c r="G103" s="110"/>
    </row>
    <row r="104" spans="1:7" s="17" customFormat="1" ht="18" customHeight="1" thickBot="1" x14ac:dyDescent="0.3">
      <c r="A104" s="303" t="s">
        <v>166</v>
      </c>
      <c r="B104" s="304"/>
      <c r="C104" s="304"/>
      <c r="D104" s="305"/>
      <c r="E104" s="38"/>
      <c r="F104" s="113" t="s">
        <v>262</v>
      </c>
      <c r="G104" s="113" t="s">
        <v>262</v>
      </c>
    </row>
    <row r="105" spans="1:7" s="3" customFormat="1" ht="15" customHeight="1" thickBot="1" x14ac:dyDescent="0.3">
      <c r="A105" s="52" t="s">
        <v>33</v>
      </c>
      <c r="B105" s="24" t="s">
        <v>7</v>
      </c>
      <c r="C105" s="327" t="s">
        <v>165</v>
      </c>
      <c r="D105" s="328"/>
      <c r="E105" s="39"/>
      <c r="F105" s="97" t="s">
        <v>19</v>
      </c>
      <c r="G105" s="97" t="s">
        <v>261</v>
      </c>
    </row>
    <row r="106" spans="1:7" s="13" customFormat="1" ht="41.1" customHeight="1" thickBot="1" x14ac:dyDescent="0.3">
      <c r="A106" s="53" t="s">
        <v>83</v>
      </c>
      <c r="B106" s="23" t="s">
        <v>146</v>
      </c>
      <c r="C106" s="329"/>
      <c r="D106" s="330"/>
      <c r="E106" s="35"/>
      <c r="F106" s="237"/>
      <c r="G106" s="242"/>
    </row>
    <row r="107" spans="1:7" s="13" customFormat="1" ht="26.25" thickBot="1" x14ac:dyDescent="0.3">
      <c r="A107" s="50" t="s">
        <v>34</v>
      </c>
      <c r="B107" s="30" t="s">
        <v>107</v>
      </c>
      <c r="C107" s="310" t="s">
        <v>30</v>
      </c>
      <c r="D107" s="311"/>
      <c r="E107" s="34"/>
      <c r="F107" s="237" t="s">
        <v>325</v>
      </c>
      <c r="G107" s="237" t="s">
        <v>325</v>
      </c>
    </row>
    <row r="108" spans="1:7" s="13" customFormat="1" ht="51.95" customHeight="1" thickBot="1" x14ac:dyDescent="0.3">
      <c r="A108" s="50" t="s">
        <v>35</v>
      </c>
      <c r="B108" s="30" t="s">
        <v>97</v>
      </c>
      <c r="C108" s="298"/>
      <c r="D108" s="299"/>
      <c r="E108" s="35"/>
      <c r="F108" s="237"/>
      <c r="G108" s="237"/>
    </row>
    <row r="109" spans="1:7" s="13" customFormat="1" ht="39" thickBot="1" x14ac:dyDescent="0.3">
      <c r="A109" s="50" t="s">
        <v>36</v>
      </c>
      <c r="B109" s="30" t="s">
        <v>84</v>
      </c>
      <c r="C109" s="310" t="s">
        <v>99</v>
      </c>
      <c r="D109" s="311"/>
      <c r="E109" s="34"/>
      <c r="F109" s="237" t="s">
        <v>326</v>
      </c>
      <c r="G109" s="237" t="s">
        <v>326</v>
      </c>
    </row>
    <row r="110" spans="1:7" s="13" customFormat="1" ht="12.75" customHeight="1" x14ac:dyDescent="0.25">
      <c r="A110" s="284" t="s">
        <v>60</v>
      </c>
      <c r="B110" s="286" t="s">
        <v>133</v>
      </c>
      <c r="C110" s="288" t="s">
        <v>208</v>
      </c>
      <c r="D110" s="289"/>
      <c r="E110" s="34"/>
      <c r="F110" s="238" t="s">
        <v>259</v>
      </c>
      <c r="G110" s="238" t="s">
        <v>259</v>
      </c>
    </row>
    <row r="111" spans="1:7" s="13" customFormat="1" x14ac:dyDescent="0.25">
      <c r="A111" s="292"/>
      <c r="B111" s="293"/>
      <c r="C111" s="294" t="s">
        <v>207</v>
      </c>
      <c r="D111" s="295"/>
      <c r="E111" s="34"/>
      <c r="F111" s="239">
        <v>5512</v>
      </c>
      <c r="G111" s="239">
        <v>5512</v>
      </c>
    </row>
    <row r="112" spans="1:7" s="13" customFormat="1" x14ac:dyDescent="0.25">
      <c r="A112" s="292"/>
      <c r="B112" s="293"/>
      <c r="C112" s="294" t="s">
        <v>114</v>
      </c>
      <c r="D112" s="295"/>
      <c r="E112" s="34"/>
      <c r="F112" s="239">
        <v>7372115810</v>
      </c>
      <c r="G112" s="239">
        <v>7372115810</v>
      </c>
    </row>
    <row r="113" spans="1:7" s="13" customFormat="1" ht="30.75" customHeight="1" thickBot="1" x14ac:dyDescent="0.3">
      <c r="A113" s="285"/>
      <c r="B113" s="287"/>
      <c r="C113" s="282" t="s">
        <v>115</v>
      </c>
      <c r="D113" s="283"/>
      <c r="E113" s="34"/>
      <c r="F113" s="236" t="s">
        <v>327</v>
      </c>
      <c r="G113" s="236" t="s">
        <v>327</v>
      </c>
    </row>
    <row r="114" spans="1:7" s="13" customFormat="1" ht="12.75" customHeight="1" x14ac:dyDescent="0.25">
      <c r="A114" s="284" t="s">
        <v>61</v>
      </c>
      <c r="B114" s="286" t="s">
        <v>211</v>
      </c>
      <c r="C114" s="288" t="s">
        <v>210</v>
      </c>
      <c r="D114" s="289"/>
      <c r="E114" s="34"/>
      <c r="F114" s="238" t="s">
        <v>259</v>
      </c>
      <c r="G114" s="238" t="s">
        <v>259</v>
      </c>
    </row>
    <row r="115" spans="1:7" s="13" customFormat="1" x14ac:dyDescent="0.25">
      <c r="A115" s="292"/>
      <c r="B115" s="293"/>
      <c r="C115" s="294" t="s">
        <v>209</v>
      </c>
      <c r="D115" s="295"/>
      <c r="E115" s="34"/>
      <c r="F115" s="246">
        <v>5677</v>
      </c>
      <c r="G115" s="246">
        <v>5677</v>
      </c>
    </row>
    <row r="116" spans="1:7" s="13" customFormat="1" x14ac:dyDescent="0.25">
      <c r="A116" s="292"/>
      <c r="B116" s="293"/>
      <c r="C116" s="294" t="s">
        <v>208</v>
      </c>
      <c r="D116" s="295"/>
      <c r="E116" s="34"/>
      <c r="F116" s="246" t="s">
        <v>259</v>
      </c>
      <c r="G116" s="246" t="s">
        <v>259</v>
      </c>
    </row>
    <row r="117" spans="1:7" s="13" customFormat="1" x14ac:dyDescent="0.25">
      <c r="A117" s="292"/>
      <c r="B117" s="293"/>
      <c r="C117" s="294" t="s">
        <v>207</v>
      </c>
      <c r="D117" s="295"/>
      <c r="E117" s="34"/>
      <c r="F117" s="239">
        <v>5677</v>
      </c>
      <c r="G117" s="239">
        <v>5677</v>
      </c>
    </row>
    <row r="118" spans="1:7" s="13" customFormat="1" x14ac:dyDescent="0.25">
      <c r="A118" s="292"/>
      <c r="B118" s="293"/>
      <c r="C118" s="294" t="s">
        <v>112</v>
      </c>
      <c r="D118" s="295"/>
      <c r="E118" s="34"/>
      <c r="F118" s="239">
        <v>7372115809</v>
      </c>
      <c r="G118" s="239">
        <v>7372115809</v>
      </c>
    </row>
    <row r="119" spans="1:7" s="13" customFormat="1" x14ac:dyDescent="0.25">
      <c r="A119" s="292"/>
      <c r="B119" s="293"/>
      <c r="C119" s="294" t="s">
        <v>113</v>
      </c>
      <c r="D119" s="295"/>
      <c r="E119" s="34"/>
      <c r="F119" s="246" t="s">
        <v>320</v>
      </c>
      <c r="G119" s="246" t="s">
        <v>320</v>
      </c>
    </row>
    <row r="120" spans="1:7" s="13" customFormat="1" x14ac:dyDescent="0.25">
      <c r="A120" s="292"/>
      <c r="B120" s="293"/>
      <c r="C120" s="294" t="s">
        <v>114</v>
      </c>
      <c r="D120" s="295"/>
      <c r="E120" s="34"/>
      <c r="F120" s="246">
        <v>7372115809</v>
      </c>
      <c r="G120" s="239">
        <v>7372115809</v>
      </c>
    </row>
    <row r="121" spans="1:7" s="13" customFormat="1" ht="13.5" thickBot="1" x14ac:dyDescent="0.3">
      <c r="A121" s="285"/>
      <c r="B121" s="287"/>
      <c r="C121" s="282" t="s">
        <v>115</v>
      </c>
      <c r="D121" s="283"/>
      <c r="E121" s="34"/>
      <c r="F121" s="236" t="s">
        <v>320</v>
      </c>
      <c r="G121" s="236" t="s">
        <v>320</v>
      </c>
    </row>
    <row r="122" spans="1:7" s="13" customFormat="1" ht="143.44999999999999" customHeight="1" thickBot="1" x14ac:dyDescent="0.3">
      <c r="A122" s="54" t="s">
        <v>86</v>
      </c>
      <c r="B122" s="18" t="s">
        <v>143</v>
      </c>
      <c r="C122" s="310" t="s">
        <v>104</v>
      </c>
      <c r="D122" s="311"/>
      <c r="E122" s="34"/>
      <c r="F122" s="238" t="s">
        <v>328</v>
      </c>
      <c r="G122" s="237" t="s">
        <v>328</v>
      </c>
    </row>
    <row r="123" spans="1:7" ht="167.1" customHeight="1" thickBot="1" x14ac:dyDescent="0.25">
      <c r="A123" s="50" t="s">
        <v>85</v>
      </c>
      <c r="B123" s="14" t="s">
        <v>170</v>
      </c>
      <c r="C123" s="310" t="s">
        <v>104</v>
      </c>
      <c r="D123" s="311"/>
      <c r="E123" s="34"/>
      <c r="F123" s="237" t="s">
        <v>182</v>
      </c>
      <c r="G123" s="237" t="s">
        <v>182</v>
      </c>
    </row>
    <row r="124" spans="1:7" x14ac:dyDescent="0.2">
      <c r="A124" s="284" t="s">
        <v>13</v>
      </c>
      <c r="B124" s="286" t="s">
        <v>98</v>
      </c>
      <c r="C124" s="288" t="s">
        <v>30</v>
      </c>
      <c r="D124" s="289"/>
      <c r="E124" s="34"/>
      <c r="F124" s="238" t="s">
        <v>329</v>
      </c>
      <c r="G124" s="238" t="s">
        <v>329</v>
      </c>
    </row>
    <row r="125" spans="1:7" ht="29.45" customHeight="1" thickBot="1" x14ac:dyDescent="0.25">
      <c r="A125" s="285"/>
      <c r="B125" s="287"/>
      <c r="C125" s="282" t="s">
        <v>109</v>
      </c>
      <c r="D125" s="283"/>
      <c r="E125" s="34"/>
      <c r="F125" s="236" t="s">
        <v>258</v>
      </c>
      <c r="G125" s="250" t="s">
        <v>258</v>
      </c>
    </row>
    <row r="126" spans="1:7" ht="65.45" customHeight="1" thickBot="1" x14ac:dyDescent="0.25">
      <c r="A126" s="50" t="s">
        <v>37</v>
      </c>
      <c r="B126" s="30" t="s">
        <v>135</v>
      </c>
      <c r="C126" s="298"/>
      <c r="D126" s="299"/>
      <c r="E126" s="35"/>
      <c r="F126" s="237" t="s">
        <v>330</v>
      </c>
      <c r="G126" s="236" t="s">
        <v>330</v>
      </c>
    </row>
    <row r="127" spans="1:7" ht="41.1" customHeight="1" thickBot="1" x14ac:dyDescent="0.25">
      <c r="A127" s="50" t="s">
        <v>38</v>
      </c>
      <c r="B127" s="30" t="s">
        <v>87</v>
      </c>
      <c r="C127" s="298"/>
      <c r="D127" s="299"/>
      <c r="E127" s="35"/>
      <c r="F127" s="237"/>
      <c r="G127" s="237"/>
    </row>
    <row r="128" spans="1:7" ht="15.95" customHeight="1" thickBot="1" x14ac:dyDescent="0.25">
      <c r="A128" s="50" t="s">
        <v>206</v>
      </c>
      <c r="B128" s="30" t="s">
        <v>205</v>
      </c>
      <c r="C128" s="310"/>
      <c r="D128" s="311"/>
      <c r="E128" s="34"/>
      <c r="F128" s="237" t="s">
        <v>188</v>
      </c>
      <c r="G128" s="237" t="s">
        <v>188</v>
      </c>
    </row>
    <row r="129" spans="1:7" ht="27" customHeight="1" thickBot="1" x14ac:dyDescent="0.25">
      <c r="A129" s="50" t="s">
        <v>39</v>
      </c>
      <c r="B129" s="30" t="s">
        <v>106</v>
      </c>
      <c r="C129" s="310" t="s">
        <v>105</v>
      </c>
      <c r="D129" s="311"/>
      <c r="E129" s="34"/>
      <c r="F129" s="237" t="s">
        <v>331</v>
      </c>
      <c r="G129" s="237" t="s">
        <v>331</v>
      </c>
    </row>
    <row r="130" spans="1:7" x14ac:dyDescent="0.2">
      <c r="A130" s="284" t="s">
        <v>88</v>
      </c>
      <c r="B130" s="286" t="s">
        <v>148</v>
      </c>
      <c r="C130" s="288" t="s">
        <v>100</v>
      </c>
      <c r="D130" s="289"/>
      <c r="E130" s="34"/>
      <c r="F130" s="238" t="s">
        <v>340</v>
      </c>
      <c r="G130" s="238" t="s">
        <v>340</v>
      </c>
    </row>
    <row r="131" spans="1:7" ht="108" customHeight="1" thickBot="1" x14ac:dyDescent="0.25">
      <c r="A131" s="285"/>
      <c r="B131" s="287"/>
      <c r="C131" s="282" t="s">
        <v>110</v>
      </c>
      <c r="D131" s="283"/>
      <c r="E131" s="34"/>
      <c r="F131" s="250" t="s">
        <v>332</v>
      </c>
      <c r="G131" s="251" t="s">
        <v>332</v>
      </c>
    </row>
    <row r="132" spans="1:7" ht="28.5" customHeight="1" thickBot="1" x14ac:dyDescent="0.25">
      <c r="A132" s="50" t="s">
        <v>40</v>
      </c>
      <c r="B132" s="30" t="s">
        <v>137</v>
      </c>
      <c r="C132" s="310" t="s">
        <v>100</v>
      </c>
      <c r="D132" s="311"/>
      <c r="E132" s="34"/>
      <c r="F132" s="236" t="s">
        <v>333</v>
      </c>
      <c r="G132" s="236" t="s">
        <v>333</v>
      </c>
    </row>
    <row r="133" spans="1:7" ht="51.95" customHeight="1" thickBot="1" x14ac:dyDescent="0.25">
      <c r="A133" s="50" t="s">
        <v>14</v>
      </c>
      <c r="B133" s="30" t="s">
        <v>138</v>
      </c>
      <c r="C133" s="310" t="s">
        <v>139</v>
      </c>
      <c r="D133" s="311"/>
      <c r="E133" s="34"/>
      <c r="F133" s="237" t="s">
        <v>353</v>
      </c>
      <c r="G133" s="237" t="s">
        <v>353</v>
      </c>
    </row>
    <row r="134" spans="1:7" ht="67.5" customHeight="1" thickBot="1" x14ac:dyDescent="0.25">
      <c r="A134" s="50" t="s">
        <v>91</v>
      </c>
      <c r="B134" s="30" t="s">
        <v>144</v>
      </c>
      <c r="C134" s="310" t="s">
        <v>100</v>
      </c>
      <c r="D134" s="311"/>
      <c r="E134" s="34"/>
      <c r="F134" s="237" t="s">
        <v>336</v>
      </c>
      <c r="G134" s="237" t="s">
        <v>336</v>
      </c>
    </row>
    <row r="135" spans="1:7" ht="68.45" customHeight="1" thickBot="1" x14ac:dyDescent="0.25">
      <c r="A135" s="50" t="s">
        <v>92</v>
      </c>
      <c r="B135" s="30" t="s">
        <v>145</v>
      </c>
      <c r="C135" s="298"/>
      <c r="D135" s="299"/>
      <c r="E135" s="35"/>
      <c r="F135" s="237"/>
      <c r="G135" s="237"/>
    </row>
  </sheetData>
  <sheetProtection algorithmName="SHA-512" hashValue="LVzzcGSOn5lA55lld+O2Fjqk3VdfZqc8eANRYsKX3eL3popSrqWAlNCSb7wOdNxJJH5TcQ2NIc5ZTjyqiJJiNw==" saltValue="x5HFszdqB9AG7/v8q03DJA==" spinCount="100000" sheet="1" objects="1" scenarios="1"/>
  <dataConsolidate/>
  <mergeCells count="154">
    <mergeCell ref="A130:A131"/>
    <mergeCell ref="B130:B131"/>
    <mergeCell ref="C130:D130"/>
    <mergeCell ref="C131:D131"/>
    <mergeCell ref="C121:D121"/>
    <mergeCell ref="C132:D132"/>
    <mergeCell ref="C133:D133"/>
    <mergeCell ref="C134:D134"/>
    <mergeCell ref="C135:D135"/>
    <mergeCell ref="C126:D126"/>
    <mergeCell ref="C127:D127"/>
    <mergeCell ref="C128:D128"/>
    <mergeCell ref="C129:D129"/>
    <mergeCell ref="C123:D123"/>
    <mergeCell ref="A124:A125"/>
    <mergeCell ref="B124:B125"/>
    <mergeCell ref="C124:D124"/>
    <mergeCell ref="C125:D125"/>
    <mergeCell ref="A114:A121"/>
    <mergeCell ref="B114:B121"/>
    <mergeCell ref="C114:D114"/>
    <mergeCell ref="C115:D115"/>
    <mergeCell ref="C116:D116"/>
    <mergeCell ref="A102:D102"/>
    <mergeCell ref="A104:D104"/>
    <mergeCell ref="C105:D105"/>
    <mergeCell ref="C106:D106"/>
    <mergeCell ref="C107:D107"/>
    <mergeCell ref="C122:D122"/>
    <mergeCell ref="C117:D117"/>
    <mergeCell ref="C118:D118"/>
    <mergeCell ref="C119:D119"/>
    <mergeCell ref="C120:D120"/>
    <mergeCell ref="C108:D108"/>
    <mergeCell ref="C109:D109"/>
    <mergeCell ref="A110:A113"/>
    <mergeCell ref="B110:B113"/>
    <mergeCell ref="C110:D110"/>
    <mergeCell ref="C111:D111"/>
    <mergeCell ref="C112:D112"/>
    <mergeCell ref="C113:D113"/>
    <mergeCell ref="A98:D98"/>
    <mergeCell ref="A99:D99"/>
    <mergeCell ref="A100:D100"/>
    <mergeCell ref="A84:D84"/>
    <mergeCell ref="A85:D85"/>
    <mergeCell ref="A86:D86"/>
    <mergeCell ref="A87:D87"/>
    <mergeCell ref="A88:D88"/>
    <mergeCell ref="C77:D77"/>
    <mergeCell ref="C78:D78"/>
    <mergeCell ref="C79:D79"/>
    <mergeCell ref="C80:D80"/>
    <mergeCell ref="A82:D82"/>
    <mergeCell ref="A89:D89"/>
    <mergeCell ref="A90:D90"/>
    <mergeCell ref="A91:D91"/>
    <mergeCell ref="A92:D92"/>
    <mergeCell ref="A93:D93"/>
    <mergeCell ref="A94:D94"/>
    <mergeCell ref="A95:D95"/>
    <mergeCell ref="A96:D96"/>
    <mergeCell ref="A97:D97"/>
    <mergeCell ref="C64:D64"/>
    <mergeCell ref="C65:D65"/>
    <mergeCell ref="C66:D66"/>
    <mergeCell ref="C67:D67"/>
    <mergeCell ref="C68:D68"/>
    <mergeCell ref="A83:D83"/>
    <mergeCell ref="C71:D71"/>
    <mergeCell ref="C72:D72"/>
    <mergeCell ref="C73:D73"/>
    <mergeCell ref="C74:D74"/>
    <mergeCell ref="C75:D75"/>
    <mergeCell ref="C76:D76"/>
    <mergeCell ref="A69:A70"/>
    <mergeCell ref="B69:B70"/>
    <mergeCell ref="C69:D69"/>
    <mergeCell ref="C70:D70"/>
    <mergeCell ref="A60:A62"/>
    <mergeCell ref="B60:B62"/>
    <mergeCell ref="C60:D60"/>
    <mergeCell ref="C61:D61"/>
    <mergeCell ref="C62:D62"/>
    <mergeCell ref="C63:D63"/>
    <mergeCell ref="C52:D52"/>
    <mergeCell ref="A53:A55"/>
    <mergeCell ref="B53:B55"/>
    <mergeCell ref="C53:D53"/>
    <mergeCell ref="C54:D54"/>
    <mergeCell ref="C55:D55"/>
    <mergeCell ref="C56:D56"/>
    <mergeCell ref="C57:D57"/>
    <mergeCell ref="A58:A59"/>
    <mergeCell ref="B58:B59"/>
    <mergeCell ref="C58:D58"/>
    <mergeCell ref="C59:D59"/>
    <mergeCell ref="C44:D44"/>
    <mergeCell ref="A45:A52"/>
    <mergeCell ref="B45:B52"/>
    <mergeCell ref="C45:D45"/>
    <mergeCell ref="C46:D46"/>
    <mergeCell ref="C47:D47"/>
    <mergeCell ref="C48:D48"/>
    <mergeCell ref="C49:D49"/>
    <mergeCell ref="C50:D50"/>
    <mergeCell ref="C51:D51"/>
    <mergeCell ref="A24:D24"/>
    <mergeCell ref="C25:D25"/>
    <mergeCell ref="C26:D26"/>
    <mergeCell ref="C27:D27"/>
    <mergeCell ref="C28:D28"/>
    <mergeCell ref="C29:D29"/>
    <mergeCell ref="A30:A34"/>
    <mergeCell ref="B30:B34"/>
    <mergeCell ref="C30:D30"/>
    <mergeCell ref="C31:D31"/>
    <mergeCell ref="C32:D32"/>
    <mergeCell ref="C33:D33"/>
    <mergeCell ref="C34:D34"/>
    <mergeCell ref="A38:A39"/>
    <mergeCell ref="B38:B39"/>
    <mergeCell ref="C38:D38"/>
    <mergeCell ref="C39:D39"/>
    <mergeCell ref="C40:D40"/>
    <mergeCell ref="B41:B43"/>
    <mergeCell ref="C41:D41"/>
    <mergeCell ref="C42:D42"/>
    <mergeCell ref="C43:D43"/>
    <mergeCell ref="A41:A43"/>
    <mergeCell ref="A3:D3"/>
    <mergeCell ref="A4:D4"/>
    <mergeCell ref="A6:D6"/>
    <mergeCell ref="B8:D8"/>
    <mergeCell ref="A101:D101"/>
    <mergeCell ref="B13:D13"/>
    <mergeCell ref="B14:D14"/>
    <mergeCell ref="B15:D15"/>
    <mergeCell ref="B16:D16"/>
    <mergeCell ref="B17:D17"/>
    <mergeCell ref="B9:D9"/>
    <mergeCell ref="B10:D10"/>
    <mergeCell ref="B11:D11"/>
    <mergeCell ref="B12:D12"/>
    <mergeCell ref="C35:D35"/>
    <mergeCell ref="A36:A37"/>
    <mergeCell ref="B36:B37"/>
    <mergeCell ref="C36:D36"/>
    <mergeCell ref="C37:D37"/>
    <mergeCell ref="A27:A28"/>
    <mergeCell ref="B27:B28"/>
    <mergeCell ref="B21:D21"/>
    <mergeCell ref="B22:D22"/>
    <mergeCell ref="A19:D19"/>
  </mergeCells>
  <conditionalFormatting sqref="C56 C65">
    <cfRule type="expression" dxfId="72" priority="99">
      <formula>#REF!="NO"</formula>
    </cfRule>
  </conditionalFormatting>
  <conditionalFormatting sqref="C41:D43">
    <cfRule type="expression" dxfId="71" priority="86">
      <formula>$F$2="NO"</formula>
    </cfRule>
  </conditionalFormatting>
  <conditionalFormatting sqref="C26:E40">
    <cfRule type="expression" dxfId="70" priority="88">
      <formula>#REF!="NO"</formula>
    </cfRule>
  </conditionalFormatting>
  <conditionalFormatting sqref="C44:E80">
    <cfRule type="expression" dxfId="69" priority="85">
      <formula>#REF!="NO"</formula>
    </cfRule>
  </conditionalFormatting>
  <conditionalFormatting sqref="C106:F135">
    <cfRule type="expression" dxfId="68" priority="60">
      <formula>#REF!="NO"</formula>
    </cfRule>
  </conditionalFormatting>
  <conditionalFormatting sqref="E41:E43">
    <cfRule type="expression" dxfId="67" priority="87">
      <formula>#REF!="NO"</formula>
    </cfRule>
  </conditionalFormatting>
  <conditionalFormatting sqref="E84:G102">
    <cfRule type="expression" dxfId="66" priority="1">
      <formula>#REF!="NO"</formula>
    </cfRule>
  </conditionalFormatting>
  <conditionalFormatting sqref="F8:F17">
    <cfRule type="expression" dxfId="65" priority="80">
      <formula>#REF!="NO"</formula>
    </cfRule>
  </conditionalFormatting>
  <conditionalFormatting sqref="F26:F80">
    <cfRule type="expression" dxfId="64" priority="64">
      <formula>#REF!="NO"</formula>
    </cfRule>
  </conditionalFormatting>
  <conditionalFormatting sqref="F21:G22">
    <cfRule type="expression" dxfId="63" priority="52">
      <formula>#REF!="NO"</formula>
    </cfRule>
  </conditionalFormatting>
  <conditionalFormatting sqref="G8:G17">
    <cfRule type="expression" dxfId="62" priority="57">
      <formula>$F$2="NO"</formula>
    </cfRule>
  </conditionalFormatting>
  <conditionalFormatting sqref="G21">
    <cfRule type="expression" dxfId="61" priority="55">
      <formula>$F$2="NO"</formula>
    </cfRule>
  </conditionalFormatting>
  <conditionalFormatting sqref="G26">
    <cfRule type="expression" dxfId="60" priority="35">
      <formula>#REF!="NO"</formula>
    </cfRule>
  </conditionalFormatting>
  <conditionalFormatting sqref="G27:G80">
    <cfRule type="expression" dxfId="59" priority="36">
      <formula>$F$2="NO"</formula>
    </cfRule>
  </conditionalFormatting>
  <conditionalFormatting sqref="G56:G57">
    <cfRule type="expression" dxfId="58" priority="44">
      <formula>#REF!="NO"</formula>
    </cfRule>
  </conditionalFormatting>
  <conditionalFormatting sqref="G65">
    <cfRule type="expression" dxfId="57" priority="50">
      <formula>#REF!="NO"</formula>
    </cfRule>
  </conditionalFormatting>
  <conditionalFormatting sqref="G106:G122">
    <cfRule type="expression" dxfId="56" priority="11">
      <formula>$F$2="NO"</formula>
    </cfRule>
  </conditionalFormatting>
  <conditionalFormatting sqref="G123">
    <cfRule type="expression" dxfId="55" priority="12">
      <formula>#REF!="NO"</formula>
    </cfRule>
  </conditionalFormatting>
  <conditionalFormatting sqref="G124:G127">
    <cfRule type="expression" dxfId="54" priority="16">
      <formula>$F$2="NO"</formula>
    </cfRule>
  </conditionalFormatting>
  <conditionalFormatting sqref="G128">
    <cfRule type="expression" dxfId="53" priority="13">
      <formula>#REF!="NO"</formula>
    </cfRule>
  </conditionalFormatting>
  <conditionalFormatting sqref="G129:G135">
    <cfRule type="expression" dxfId="52" priority="15">
      <formula>$F$2="NO"</formula>
    </cfRule>
  </conditionalFormatting>
  <dataValidations count="3">
    <dataValidation type="decimal" allowBlank="1" showInputMessage="1" showErrorMessage="1" error="The Additional Options NYS Discount entered must be greater than 0%, or less than or equal to 100%." sqref="F22:G22" xr:uid="{00000000-0002-0000-0300-000002000000}">
      <formula1>0.01</formula1>
      <formula2>100</formula2>
    </dataValidation>
    <dataValidation type="decimal" allowBlank="1" showInputMessage="1" showErrorMessage="1" error="Invalid Entry - Bidder must enter a value that is greater than $0" sqref="F21:G21" xr:uid="{00000000-0002-0000-0300-000001000000}">
      <formula1>0</formula1>
      <formula2>9E+21</formula2>
    </dataValidation>
    <dataValidation type="decimal" operator="greaterThanOrEqual" allowBlank="1" showInputMessage="1" showErrorMessage="1" error="The Pickup Allowance cannot be a negative number." sqref="F16:G16" xr:uid="{00000000-0002-0000-0300-000000000000}">
      <formula1>0</formula1>
    </dataValidation>
  </dataValidations>
  <pageMargins left="0.25" right="0.25" top="0.5" bottom="0.25" header="0.3" footer="0.3"/>
  <pageSetup scale="81" fitToHeight="0" orientation="landscape" r:id="rId1"/>
  <rowBreaks count="2" manualBreakCount="2">
    <brk id="57" max="6" man="1"/>
    <brk id="123" max="6"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6FBAD-339D-4F2D-B589-1DE16CA18319}">
  <sheetPr>
    <tabColor theme="5" tint="0.39997558519241921"/>
    <pageSetUpPr autoPageBreaks="0" fitToPage="1"/>
  </sheetPr>
  <dimension ref="A1:H135"/>
  <sheetViews>
    <sheetView showGridLines="0" zoomScaleNormal="100" zoomScaleSheetLayoutView="100" workbookViewId="0">
      <selection activeCell="A3" sqref="A3:D3"/>
    </sheetView>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6" width="21.28515625" style="106" customWidth="1"/>
    <col min="7" max="8" width="21.28515625" style="107" customWidth="1"/>
    <col min="9" max="16384" width="9.140625" style="2"/>
  </cols>
  <sheetData>
    <row r="1" spans="1:8" ht="18" customHeight="1" x14ac:dyDescent="0.2">
      <c r="A1" s="235" t="str">
        <f>'A (Item 2-G)'!$A$1</f>
        <v>GROUP 40524-23254, SCHOOL BUSES (Statewide)                                                             Attachment 1 - Specifications and Pricing (Revised October 15, 2026)</v>
      </c>
      <c r="F1" s="107"/>
    </row>
    <row r="2" spans="1:8" s="25" customFormat="1" ht="18" customHeight="1" thickBot="1" x14ac:dyDescent="0.3">
      <c r="A2" s="144" t="s">
        <v>373</v>
      </c>
      <c r="B2" s="26"/>
      <c r="C2" s="26"/>
      <c r="D2" s="26"/>
      <c r="E2" s="26"/>
      <c r="F2" s="143"/>
      <c r="G2" s="144"/>
      <c r="H2" s="143"/>
    </row>
    <row r="3" spans="1:8" ht="24" thickBot="1" x14ac:dyDescent="0.25">
      <c r="A3" s="345" t="s">
        <v>311</v>
      </c>
      <c r="B3" s="346"/>
      <c r="C3" s="346"/>
      <c r="D3" s="347"/>
      <c r="E3" s="9"/>
      <c r="F3" s="145"/>
      <c r="H3" s="145"/>
    </row>
    <row r="4" spans="1:8" ht="51" customHeight="1" thickBot="1" x14ac:dyDescent="0.25">
      <c r="A4" s="273" t="s">
        <v>310</v>
      </c>
      <c r="B4" s="274"/>
      <c r="C4" s="274"/>
      <c r="D4" s="275"/>
      <c r="E4" s="9"/>
      <c r="F4" s="145"/>
      <c r="H4" s="145"/>
    </row>
    <row r="5" spans="1:8" s="4" customFormat="1" ht="11.25" customHeight="1" thickBot="1" x14ac:dyDescent="0.3">
      <c r="A5" s="57"/>
      <c r="B5" s="57"/>
      <c r="C5" s="57"/>
      <c r="D5" s="57"/>
      <c r="E5" s="57"/>
      <c r="F5" s="123"/>
      <c r="G5" s="114"/>
      <c r="H5" s="114"/>
    </row>
    <row r="6" spans="1:8" s="8" customFormat="1" ht="16.5" customHeight="1" thickBot="1" x14ac:dyDescent="0.25">
      <c r="A6" s="276" t="s">
        <v>151</v>
      </c>
      <c r="B6" s="277"/>
      <c r="C6" s="277"/>
      <c r="D6" s="278"/>
      <c r="E6" s="36"/>
      <c r="F6" s="366" t="s">
        <v>262</v>
      </c>
      <c r="G6" s="367"/>
      <c r="H6" s="368"/>
    </row>
    <row r="7" spans="1:8" s="4" customFormat="1" ht="15" customHeight="1" thickBot="1" x14ac:dyDescent="0.3">
      <c r="A7" s="41" t="s">
        <v>6</v>
      </c>
      <c r="B7" s="27" t="s">
        <v>165</v>
      </c>
      <c r="C7" s="32"/>
      <c r="D7" s="40"/>
      <c r="E7" s="37"/>
      <c r="F7" s="117" t="s">
        <v>19</v>
      </c>
      <c r="G7" s="118" t="s">
        <v>261</v>
      </c>
      <c r="H7" s="119" t="s">
        <v>307</v>
      </c>
    </row>
    <row r="8" spans="1:8" ht="39.75" thickTop="1" thickBot="1" x14ac:dyDescent="0.25">
      <c r="A8" s="42" t="s">
        <v>9</v>
      </c>
      <c r="B8" s="267" t="s">
        <v>152</v>
      </c>
      <c r="C8" s="268"/>
      <c r="D8" s="269"/>
      <c r="E8" s="13"/>
      <c r="F8" s="146" t="s">
        <v>315</v>
      </c>
      <c r="G8" s="147" t="s">
        <v>316</v>
      </c>
      <c r="H8" s="148" t="s">
        <v>338</v>
      </c>
    </row>
    <row r="9" spans="1:8" s="8" customFormat="1" ht="44.25" customHeight="1" thickTop="1" thickBot="1" x14ac:dyDescent="0.25">
      <c r="A9" s="42" t="s">
        <v>136</v>
      </c>
      <c r="B9" s="267" t="s">
        <v>196</v>
      </c>
      <c r="C9" s="268"/>
      <c r="D9" s="269"/>
      <c r="E9" s="13"/>
      <c r="F9" s="124" t="s">
        <v>354</v>
      </c>
      <c r="G9" s="149" t="s">
        <v>354</v>
      </c>
      <c r="H9" s="150" t="s">
        <v>354</v>
      </c>
    </row>
    <row r="10" spans="1:8" ht="12.75" customHeight="1" thickTop="1" x14ac:dyDescent="0.2">
      <c r="A10" s="43" t="s">
        <v>0</v>
      </c>
      <c r="B10" s="258" t="s">
        <v>154</v>
      </c>
      <c r="C10" s="259"/>
      <c r="D10" s="260"/>
      <c r="E10" s="13"/>
      <c r="F10" s="151" t="s">
        <v>285</v>
      </c>
      <c r="G10" s="152" t="s">
        <v>285</v>
      </c>
      <c r="H10" s="153" t="s">
        <v>285</v>
      </c>
    </row>
    <row r="11" spans="1:8" x14ac:dyDescent="0.2">
      <c r="A11" s="43" t="s">
        <v>1</v>
      </c>
      <c r="B11" s="258" t="s">
        <v>153</v>
      </c>
      <c r="C11" s="259"/>
      <c r="D11" s="260"/>
      <c r="E11" s="13"/>
      <c r="F11" s="151" t="s">
        <v>284</v>
      </c>
      <c r="G11" s="152" t="s">
        <v>284</v>
      </c>
      <c r="H11" s="153" t="s">
        <v>284</v>
      </c>
    </row>
    <row r="12" spans="1:8" ht="14.1" customHeight="1" thickBot="1" x14ac:dyDescent="0.25">
      <c r="A12" s="44" t="s">
        <v>2</v>
      </c>
      <c r="B12" s="261" t="s">
        <v>155</v>
      </c>
      <c r="C12" s="262"/>
      <c r="D12" s="263"/>
      <c r="E12" s="13"/>
      <c r="F12" s="154" t="s">
        <v>283</v>
      </c>
      <c r="G12" s="155" t="s">
        <v>309</v>
      </c>
      <c r="H12" s="156" t="s">
        <v>283</v>
      </c>
    </row>
    <row r="13" spans="1:8" ht="13.5" thickTop="1" x14ac:dyDescent="0.2">
      <c r="A13" s="43" t="s">
        <v>3</v>
      </c>
      <c r="B13" s="258" t="s">
        <v>157</v>
      </c>
      <c r="C13" s="259"/>
      <c r="D13" s="260"/>
      <c r="E13" s="13"/>
      <c r="F13" s="151" t="s">
        <v>285</v>
      </c>
      <c r="G13" s="152" t="s">
        <v>285</v>
      </c>
      <c r="H13" s="153" t="s">
        <v>285</v>
      </c>
    </row>
    <row r="14" spans="1:8" x14ac:dyDescent="0.2">
      <c r="A14" s="43" t="s">
        <v>4</v>
      </c>
      <c r="B14" s="258" t="s">
        <v>156</v>
      </c>
      <c r="C14" s="259"/>
      <c r="D14" s="260"/>
      <c r="E14" s="13"/>
      <c r="F14" s="151" t="s">
        <v>284</v>
      </c>
      <c r="G14" s="152" t="s">
        <v>284</v>
      </c>
      <c r="H14" s="153" t="s">
        <v>284</v>
      </c>
    </row>
    <row r="15" spans="1:8" ht="15.75" customHeight="1" thickBot="1" x14ac:dyDescent="0.25">
      <c r="A15" s="45" t="s">
        <v>5</v>
      </c>
      <c r="B15" s="261" t="s">
        <v>158</v>
      </c>
      <c r="C15" s="262"/>
      <c r="D15" s="263"/>
      <c r="E15" s="13"/>
      <c r="F15" s="146" t="s">
        <v>283</v>
      </c>
      <c r="G15" s="155" t="s">
        <v>309</v>
      </c>
      <c r="H15" s="156" t="s">
        <v>283</v>
      </c>
    </row>
    <row r="16" spans="1:8" ht="29.25" customHeight="1" thickTop="1" x14ac:dyDescent="0.2">
      <c r="A16" s="43" t="s">
        <v>101</v>
      </c>
      <c r="B16" s="264" t="s">
        <v>160</v>
      </c>
      <c r="C16" s="265"/>
      <c r="D16" s="266"/>
      <c r="E16" s="13"/>
      <c r="F16" s="157">
        <v>0</v>
      </c>
      <c r="G16" s="158">
        <v>0</v>
      </c>
      <c r="H16" s="159">
        <v>0</v>
      </c>
    </row>
    <row r="17" spans="1:8" ht="30.75" customHeight="1" thickBot="1" x14ac:dyDescent="0.25">
      <c r="A17" s="45" t="s">
        <v>43</v>
      </c>
      <c r="B17" s="261" t="s">
        <v>159</v>
      </c>
      <c r="C17" s="262"/>
      <c r="D17" s="263"/>
      <c r="E17" s="13"/>
      <c r="F17" s="146" t="s">
        <v>317</v>
      </c>
      <c r="G17" s="147" t="s">
        <v>317</v>
      </c>
      <c r="H17" s="148" t="s">
        <v>317</v>
      </c>
    </row>
    <row r="18" spans="1:8" s="10" customFormat="1" ht="14.25" thickTop="1" thickBot="1" x14ac:dyDescent="0.25">
      <c r="C18" s="11"/>
      <c r="D18" s="11"/>
      <c r="E18" s="11"/>
      <c r="F18" s="100"/>
      <c r="G18" s="100"/>
      <c r="H18" s="100"/>
    </row>
    <row r="19" spans="1:8" s="12" customFormat="1" ht="16.5" customHeight="1" thickBot="1" x14ac:dyDescent="0.25">
      <c r="A19" s="276" t="s">
        <v>150</v>
      </c>
      <c r="B19" s="277"/>
      <c r="C19" s="277"/>
      <c r="D19" s="278"/>
      <c r="E19" s="36"/>
      <c r="F19" s="366" t="s">
        <v>262</v>
      </c>
      <c r="G19" s="367"/>
      <c r="H19" s="368"/>
    </row>
    <row r="20" spans="1:8" s="4" customFormat="1" ht="15" customHeight="1" thickBot="1" x14ac:dyDescent="0.3">
      <c r="A20" s="55" t="s">
        <v>6</v>
      </c>
      <c r="B20" s="31" t="s">
        <v>165</v>
      </c>
      <c r="C20" s="33"/>
      <c r="D20" s="48"/>
      <c r="E20" s="37"/>
      <c r="F20" s="117" t="s">
        <v>19</v>
      </c>
      <c r="G20" s="118" t="s">
        <v>261</v>
      </c>
      <c r="H20" s="119" t="s">
        <v>307</v>
      </c>
    </row>
    <row r="21" spans="1:8" ht="56.25" customHeight="1" x14ac:dyDescent="0.2">
      <c r="A21" s="46" t="s">
        <v>42</v>
      </c>
      <c r="B21" s="279" t="s">
        <v>161</v>
      </c>
      <c r="C21" s="280"/>
      <c r="D21" s="281"/>
      <c r="E21" s="13"/>
      <c r="F21" s="131">
        <f>135093*('PPI Adj'!D6)</f>
        <v>157653.53100000002</v>
      </c>
      <c r="G21" s="160">
        <f>132696*('PPI Adj'!D6)</f>
        <v>154856.23200000002</v>
      </c>
      <c r="H21" s="161">
        <f>143624*('PPI Adj'!D6)</f>
        <v>167609.20800000001</v>
      </c>
    </row>
    <row r="22" spans="1:8" ht="33" customHeight="1" thickBot="1" x14ac:dyDescent="0.25">
      <c r="A22" s="47" t="s">
        <v>41</v>
      </c>
      <c r="B22" s="300" t="s">
        <v>163</v>
      </c>
      <c r="C22" s="301"/>
      <c r="D22" s="302"/>
      <c r="E22" s="1"/>
      <c r="F22" s="132">
        <v>16</v>
      </c>
      <c r="G22" s="162">
        <v>16</v>
      </c>
      <c r="H22" s="163">
        <v>16</v>
      </c>
    </row>
    <row r="23" spans="1:8" ht="13.5" thickBot="1" x14ac:dyDescent="0.25">
      <c r="A23" s="58"/>
      <c r="B23" s="1"/>
      <c r="C23" s="1"/>
      <c r="D23" s="1"/>
      <c r="E23" s="1"/>
      <c r="F23" s="102"/>
      <c r="H23" s="101"/>
    </row>
    <row r="24" spans="1:8" s="8" customFormat="1" ht="15.75" customHeight="1" thickBot="1" x14ac:dyDescent="0.25">
      <c r="A24" s="303" t="s">
        <v>164</v>
      </c>
      <c r="B24" s="304"/>
      <c r="C24" s="304"/>
      <c r="D24" s="305"/>
      <c r="E24" s="38"/>
      <c r="F24" s="366" t="s">
        <v>262</v>
      </c>
      <c r="G24" s="367"/>
      <c r="H24" s="368"/>
    </row>
    <row r="25" spans="1:8" s="3" customFormat="1" ht="15" customHeight="1" thickBot="1" x14ac:dyDescent="0.3">
      <c r="A25" s="55" t="s">
        <v>6</v>
      </c>
      <c r="B25" s="56" t="s">
        <v>7</v>
      </c>
      <c r="C25" s="306" t="s">
        <v>165</v>
      </c>
      <c r="D25" s="307"/>
      <c r="E25" s="39"/>
      <c r="F25" s="117" t="s">
        <v>19</v>
      </c>
      <c r="G25" s="118" t="s">
        <v>261</v>
      </c>
      <c r="H25" s="119" t="s">
        <v>307</v>
      </c>
    </row>
    <row r="26" spans="1:8" s="13" customFormat="1" ht="79.5" customHeight="1" thickBot="1" x14ac:dyDescent="0.3">
      <c r="A26" s="49" t="s">
        <v>8</v>
      </c>
      <c r="B26" s="29" t="s">
        <v>282</v>
      </c>
      <c r="C26" s="282" t="s">
        <v>118</v>
      </c>
      <c r="D26" s="283"/>
      <c r="E26" s="34"/>
      <c r="F26" s="164">
        <v>29800</v>
      </c>
      <c r="G26" s="165">
        <v>29800</v>
      </c>
      <c r="H26" s="166">
        <v>29800</v>
      </c>
    </row>
    <row r="27" spans="1:8" s="13" customFormat="1" x14ac:dyDescent="0.25">
      <c r="A27" s="284" t="s">
        <v>21</v>
      </c>
      <c r="B27" s="286" t="s">
        <v>308</v>
      </c>
      <c r="C27" s="288" t="s">
        <v>67</v>
      </c>
      <c r="D27" s="289"/>
      <c r="E27" s="34"/>
      <c r="F27" s="167">
        <v>11</v>
      </c>
      <c r="G27" s="168">
        <v>11</v>
      </c>
      <c r="H27" s="169">
        <v>11</v>
      </c>
    </row>
    <row r="28" spans="1:8" s="13" customFormat="1" ht="13.5" thickBot="1" x14ac:dyDescent="0.3">
      <c r="A28" s="285"/>
      <c r="B28" s="287"/>
      <c r="C28" s="282" t="s">
        <v>68</v>
      </c>
      <c r="D28" s="283"/>
      <c r="E28" s="34"/>
      <c r="F28" s="164">
        <v>66</v>
      </c>
      <c r="G28" s="165">
        <v>66</v>
      </c>
      <c r="H28" s="166">
        <v>66</v>
      </c>
    </row>
    <row r="29" spans="1:8" s="13" customFormat="1" ht="13.5" thickBot="1" x14ac:dyDescent="0.3">
      <c r="A29" s="50" t="s">
        <v>123</v>
      </c>
      <c r="B29" s="30" t="s">
        <v>108</v>
      </c>
      <c r="C29" s="298"/>
      <c r="D29" s="299"/>
      <c r="E29" s="35"/>
      <c r="F29" s="170"/>
      <c r="G29" s="171"/>
      <c r="H29" s="172"/>
    </row>
    <row r="30" spans="1:8" s="13" customFormat="1" x14ac:dyDescent="0.25">
      <c r="A30" s="284" t="s">
        <v>59</v>
      </c>
      <c r="B30" s="286"/>
      <c r="C30" s="288" t="s">
        <v>58</v>
      </c>
      <c r="D30" s="289"/>
      <c r="E30" s="34"/>
      <c r="F30" s="167">
        <v>254</v>
      </c>
      <c r="G30" s="168">
        <v>254</v>
      </c>
      <c r="H30" s="169">
        <v>254</v>
      </c>
    </row>
    <row r="31" spans="1:8" s="13" customFormat="1" x14ac:dyDescent="0.25">
      <c r="A31" s="292"/>
      <c r="B31" s="293"/>
      <c r="C31" s="294" t="s">
        <v>57</v>
      </c>
      <c r="D31" s="295"/>
      <c r="E31" s="34"/>
      <c r="F31" s="151">
        <v>435.14</v>
      </c>
      <c r="G31" s="152">
        <v>435.14</v>
      </c>
      <c r="H31" s="153">
        <v>435.14</v>
      </c>
    </row>
    <row r="32" spans="1:8" s="13" customFormat="1" x14ac:dyDescent="0.25">
      <c r="A32" s="292"/>
      <c r="B32" s="293"/>
      <c r="C32" s="294" t="s">
        <v>69</v>
      </c>
      <c r="D32" s="295"/>
      <c r="E32" s="34"/>
      <c r="F32" s="151">
        <v>90</v>
      </c>
      <c r="G32" s="152">
        <v>90</v>
      </c>
      <c r="H32" s="153">
        <v>90</v>
      </c>
    </row>
    <row r="33" spans="1:8" s="13" customFormat="1" x14ac:dyDescent="0.25">
      <c r="A33" s="292"/>
      <c r="B33" s="293"/>
      <c r="C33" s="296" t="s">
        <v>70</v>
      </c>
      <c r="D33" s="297"/>
      <c r="E33" s="34"/>
      <c r="F33" s="151">
        <v>78</v>
      </c>
      <c r="G33" s="152">
        <v>78</v>
      </c>
      <c r="H33" s="153">
        <v>78</v>
      </c>
    </row>
    <row r="34" spans="1:8" s="13" customFormat="1" ht="13.5" thickBot="1" x14ac:dyDescent="0.3">
      <c r="A34" s="285"/>
      <c r="B34" s="287"/>
      <c r="C34" s="282" t="s">
        <v>111</v>
      </c>
      <c r="D34" s="283"/>
      <c r="E34" s="34"/>
      <c r="F34" s="164">
        <v>228.92</v>
      </c>
      <c r="G34" s="165">
        <v>228.92</v>
      </c>
      <c r="H34" s="166">
        <v>228.92</v>
      </c>
    </row>
    <row r="35" spans="1:8" s="13" customFormat="1" ht="15.95" customHeight="1" thickBot="1" x14ac:dyDescent="0.3">
      <c r="A35" s="49" t="s">
        <v>229</v>
      </c>
      <c r="B35" s="30" t="s">
        <v>228</v>
      </c>
      <c r="C35" s="298"/>
      <c r="D35" s="299"/>
      <c r="E35" s="35"/>
      <c r="F35" s="170"/>
      <c r="G35" s="171"/>
      <c r="H35" s="172"/>
    </row>
    <row r="36" spans="1:8" s="13" customFormat="1" x14ac:dyDescent="0.25">
      <c r="A36" s="284" t="s">
        <v>11</v>
      </c>
      <c r="B36" s="286"/>
      <c r="C36" s="288" t="s">
        <v>24</v>
      </c>
      <c r="D36" s="289"/>
      <c r="E36" s="34"/>
      <c r="F36" s="167">
        <v>10000</v>
      </c>
      <c r="G36" s="168">
        <v>10000</v>
      </c>
      <c r="H36" s="169">
        <v>10000</v>
      </c>
    </row>
    <row r="37" spans="1:8" s="13" customFormat="1" ht="13.5" thickBot="1" x14ac:dyDescent="0.3">
      <c r="A37" s="285"/>
      <c r="B37" s="287"/>
      <c r="C37" s="282" t="s">
        <v>22</v>
      </c>
      <c r="D37" s="283"/>
      <c r="E37" s="34"/>
      <c r="F37" s="164">
        <v>10000</v>
      </c>
      <c r="G37" s="165">
        <v>10000</v>
      </c>
      <c r="H37" s="166">
        <v>10000</v>
      </c>
    </row>
    <row r="38" spans="1:8" s="13" customFormat="1" x14ac:dyDescent="0.25">
      <c r="A38" s="284" t="s">
        <v>16</v>
      </c>
      <c r="B38" s="286"/>
      <c r="C38" s="288" t="s">
        <v>24</v>
      </c>
      <c r="D38" s="289"/>
      <c r="E38" s="34"/>
      <c r="F38" s="167">
        <v>19800</v>
      </c>
      <c r="G38" s="168">
        <v>19800</v>
      </c>
      <c r="H38" s="169">
        <v>19800</v>
      </c>
    </row>
    <row r="39" spans="1:8" s="13" customFormat="1" ht="13.5" thickBot="1" x14ac:dyDescent="0.3">
      <c r="A39" s="285"/>
      <c r="B39" s="287"/>
      <c r="C39" s="290" t="s">
        <v>23</v>
      </c>
      <c r="D39" s="291"/>
      <c r="E39" s="34"/>
      <c r="F39" s="164">
        <v>19800</v>
      </c>
      <c r="G39" s="165">
        <v>19800</v>
      </c>
      <c r="H39" s="166">
        <v>19800</v>
      </c>
    </row>
    <row r="40" spans="1:8" s="13" customFormat="1" ht="18.600000000000001" customHeight="1" thickBot="1" x14ac:dyDescent="0.3">
      <c r="A40" s="50" t="s">
        <v>52</v>
      </c>
      <c r="B40" s="30" t="s">
        <v>53</v>
      </c>
      <c r="C40" s="298"/>
      <c r="D40" s="299"/>
      <c r="E40" s="35"/>
      <c r="F40" s="170"/>
      <c r="G40" s="171"/>
      <c r="H40" s="172"/>
    </row>
    <row r="41" spans="1:8" s="13" customFormat="1" x14ac:dyDescent="0.25">
      <c r="A41" s="284" t="s">
        <v>224</v>
      </c>
      <c r="B41" s="286" t="s">
        <v>227</v>
      </c>
      <c r="C41" s="288" t="s">
        <v>226</v>
      </c>
      <c r="D41" s="289"/>
      <c r="E41" s="34"/>
      <c r="F41" s="167" t="s">
        <v>280</v>
      </c>
      <c r="G41" s="168" t="s">
        <v>280</v>
      </c>
      <c r="H41" s="169" t="s">
        <v>280</v>
      </c>
    </row>
    <row r="42" spans="1:8" s="13" customFormat="1" ht="14.45" customHeight="1" x14ac:dyDescent="0.25">
      <c r="A42" s="292"/>
      <c r="B42" s="293"/>
      <c r="C42" s="294" t="s">
        <v>225</v>
      </c>
      <c r="D42" s="295"/>
      <c r="E42" s="34"/>
      <c r="F42" s="151" t="s">
        <v>279</v>
      </c>
      <c r="G42" s="152" t="s">
        <v>279</v>
      </c>
      <c r="H42" s="153" t="s">
        <v>279</v>
      </c>
    </row>
    <row r="43" spans="1:8" s="13" customFormat="1" ht="78.599999999999994" customHeight="1" thickBot="1" x14ac:dyDescent="0.3">
      <c r="A43" s="285"/>
      <c r="B43" s="293"/>
      <c r="C43" s="290"/>
      <c r="D43" s="291"/>
      <c r="E43" s="34"/>
      <c r="F43" s="173"/>
      <c r="G43" s="174"/>
      <c r="H43" s="166"/>
    </row>
    <row r="44" spans="1:8" s="13" customFormat="1" ht="27.95" customHeight="1" thickBot="1" x14ac:dyDescent="0.3">
      <c r="A44" s="49" t="s">
        <v>224</v>
      </c>
      <c r="B44" s="30" t="s">
        <v>223</v>
      </c>
      <c r="C44" s="298"/>
      <c r="D44" s="299"/>
      <c r="E44" s="35"/>
      <c r="F44" s="170"/>
      <c r="G44" s="171"/>
      <c r="H44" s="172"/>
    </row>
    <row r="45" spans="1:8" s="13" customFormat="1" ht="13.5" thickBot="1" x14ac:dyDescent="0.3">
      <c r="A45" s="284" t="s">
        <v>12</v>
      </c>
      <c r="B45" s="309" t="s">
        <v>142</v>
      </c>
      <c r="C45" s="288" t="s">
        <v>174</v>
      </c>
      <c r="D45" s="289"/>
      <c r="E45" s="34"/>
      <c r="F45" s="167" t="s">
        <v>339</v>
      </c>
      <c r="G45" s="168" t="s">
        <v>339</v>
      </c>
      <c r="H45" s="169" t="s">
        <v>339</v>
      </c>
    </row>
    <row r="46" spans="1:8" s="13" customFormat="1" ht="13.5" thickBot="1" x14ac:dyDescent="0.3">
      <c r="A46" s="292"/>
      <c r="B46" s="309"/>
      <c r="C46" s="294" t="s">
        <v>175</v>
      </c>
      <c r="D46" s="295"/>
      <c r="E46" s="34"/>
      <c r="F46" s="151">
        <v>5677</v>
      </c>
      <c r="G46" s="152">
        <v>5677</v>
      </c>
      <c r="H46" s="153">
        <v>5677</v>
      </c>
    </row>
    <row r="47" spans="1:8" s="13" customFormat="1" ht="13.5" thickBot="1" x14ac:dyDescent="0.3">
      <c r="A47" s="292"/>
      <c r="B47" s="309"/>
      <c r="C47" s="294" t="s">
        <v>176</v>
      </c>
      <c r="D47" s="295"/>
      <c r="E47" s="34"/>
      <c r="F47" s="175" t="s">
        <v>339</v>
      </c>
      <c r="G47" s="176" t="s">
        <v>339</v>
      </c>
      <c r="H47" s="177" t="s">
        <v>339</v>
      </c>
    </row>
    <row r="48" spans="1:8" s="13" customFormat="1" ht="13.5" thickBot="1" x14ac:dyDescent="0.3">
      <c r="A48" s="292"/>
      <c r="B48" s="309"/>
      <c r="C48" s="294" t="s">
        <v>177</v>
      </c>
      <c r="D48" s="295"/>
      <c r="E48" s="34"/>
      <c r="F48" s="151">
        <v>5355</v>
      </c>
      <c r="G48" s="152">
        <v>5355</v>
      </c>
      <c r="H48" s="153">
        <v>5355</v>
      </c>
    </row>
    <row r="49" spans="1:8" s="13" customFormat="1" ht="13.5" thickBot="1" x14ac:dyDescent="0.3">
      <c r="A49" s="292"/>
      <c r="B49" s="309"/>
      <c r="C49" s="294" t="s">
        <v>112</v>
      </c>
      <c r="D49" s="295"/>
      <c r="E49" s="34"/>
      <c r="F49" s="151">
        <v>7372115809</v>
      </c>
      <c r="G49" s="152">
        <v>7372115809</v>
      </c>
      <c r="H49" s="153">
        <v>7372115809</v>
      </c>
    </row>
    <row r="50" spans="1:8" s="13" customFormat="1" ht="13.5" thickBot="1" x14ac:dyDescent="0.3">
      <c r="A50" s="292"/>
      <c r="B50" s="309"/>
      <c r="C50" s="294" t="s">
        <v>113</v>
      </c>
      <c r="D50" s="295"/>
      <c r="E50" s="34"/>
      <c r="F50" s="151" t="s">
        <v>320</v>
      </c>
      <c r="G50" s="152" t="s">
        <v>320</v>
      </c>
      <c r="H50" s="153" t="s">
        <v>320</v>
      </c>
    </row>
    <row r="51" spans="1:8" s="13" customFormat="1" ht="13.5" thickBot="1" x14ac:dyDescent="0.3">
      <c r="A51" s="292"/>
      <c r="B51" s="309"/>
      <c r="C51" s="296" t="s">
        <v>114</v>
      </c>
      <c r="D51" s="297"/>
      <c r="E51" s="34"/>
      <c r="F51" s="151">
        <v>7372115809</v>
      </c>
      <c r="G51" s="152">
        <v>7372115809</v>
      </c>
      <c r="H51" s="153">
        <v>7372115809</v>
      </c>
    </row>
    <row r="52" spans="1:8" s="13" customFormat="1" ht="15.95" customHeight="1" thickBot="1" x14ac:dyDescent="0.3">
      <c r="A52" s="285"/>
      <c r="B52" s="309"/>
      <c r="C52" s="282" t="s">
        <v>115</v>
      </c>
      <c r="D52" s="283"/>
      <c r="E52" s="34"/>
      <c r="F52" s="164" t="s">
        <v>320</v>
      </c>
      <c r="G52" s="165" t="s">
        <v>320</v>
      </c>
      <c r="H52" s="166" t="s">
        <v>320</v>
      </c>
    </row>
    <row r="53" spans="1:8" s="13" customFormat="1" x14ac:dyDescent="0.25">
      <c r="A53" s="284" t="s">
        <v>10</v>
      </c>
      <c r="B53" s="286" t="s">
        <v>222</v>
      </c>
      <c r="C53" s="288" t="s">
        <v>116</v>
      </c>
      <c r="D53" s="289"/>
      <c r="E53" s="34"/>
      <c r="F53" s="167">
        <v>6</v>
      </c>
      <c r="G53" s="168">
        <v>6</v>
      </c>
      <c r="H53" s="169">
        <v>6</v>
      </c>
    </row>
    <row r="54" spans="1:8" s="13" customFormat="1" x14ac:dyDescent="0.25">
      <c r="A54" s="292"/>
      <c r="B54" s="293"/>
      <c r="C54" s="294" t="s">
        <v>117</v>
      </c>
      <c r="D54" s="295"/>
      <c r="E54" s="34"/>
      <c r="F54" s="151" t="s">
        <v>277</v>
      </c>
      <c r="G54" s="152" t="s">
        <v>277</v>
      </c>
      <c r="H54" s="153" t="s">
        <v>277</v>
      </c>
    </row>
    <row r="55" spans="1:8" s="13" customFormat="1" ht="13.5" thickBot="1" x14ac:dyDescent="0.3">
      <c r="A55" s="285"/>
      <c r="B55" s="293"/>
      <c r="C55" s="290" t="s">
        <v>71</v>
      </c>
      <c r="D55" s="291"/>
      <c r="E55" s="34"/>
      <c r="F55" s="173" t="s">
        <v>321</v>
      </c>
      <c r="G55" s="178" t="s">
        <v>321</v>
      </c>
      <c r="H55" s="179" t="s">
        <v>321</v>
      </c>
    </row>
    <row r="56" spans="1:8" s="13" customFormat="1" ht="78.599999999999994" customHeight="1" thickBot="1" x14ac:dyDescent="0.3">
      <c r="A56" s="51" t="s">
        <v>9</v>
      </c>
      <c r="B56" s="28" t="s">
        <v>276</v>
      </c>
      <c r="C56" s="296"/>
      <c r="D56" s="297"/>
      <c r="E56" s="34"/>
      <c r="F56" s="167"/>
      <c r="G56" s="171"/>
      <c r="H56" s="169"/>
    </row>
    <row r="57" spans="1:8" s="13" customFormat="1" ht="29.45" customHeight="1" thickBot="1" x14ac:dyDescent="0.3">
      <c r="A57" s="51" t="s">
        <v>275</v>
      </c>
      <c r="B57" s="28" t="s">
        <v>274</v>
      </c>
      <c r="C57" s="298"/>
      <c r="D57" s="299"/>
      <c r="E57" s="35"/>
      <c r="F57" s="180"/>
      <c r="G57" s="171"/>
      <c r="H57" s="172"/>
    </row>
    <row r="58" spans="1:8" s="13" customFormat="1" ht="25.5" x14ac:dyDescent="0.25">
      <c r="A58" s="284" t="s">
        <v>25</v>
      </c>
      <c r="B58" s="286" t="s">
        <v>93</v>
      </c>
      <c r="C58" s="288" t="s">
        <v>72</v>
      </c>
      <c r="D58" s="289"/>
      <c r="E58" s="34"/>
      <c r="F58" s="167" t="s">
        <v>322</v>
      </c>
      <c r="G58" s="168" t="s">
        <v>322</v>
      </c>
      <c r="H58" s="169" t="s">
        <v>322</v>
      </c>
    </row>
    <row r="59" spans="1:8" s="13" customFormat="1" ht="54" customHeight="1" thickBot="1" x14ac:dyDescent="0.3">
      <c r="A59" s="285"/>
      <c r="B59" s="287"/>
      <c r="C59" s="282" t="s">
        <v>73</v>
      </c>
      <c r="D59" s="283"/>
      <c r="E59" s="34"/>
      <c r="F59" s="164">
        <v>240</v>
      </c>
      <c r="G59" s="165">
        <v>240</v>
      </c>
      <c r="H59" s="166">
        <v>240</v>
      </c>
    </row>
    <row r="60" spans="1:8" s="13" customFormat="1" x14ac:dyDescent="0.25">
      <c r="A60" s="284" t="s">
        <v>26</v>
      </c>
      <c r="B60" s="286" t="s">
        <v>273</v>
      </c>
      <c r="C60" s="288" t="s">
        <v>74</v>
      </c>
      <c r="D60" s="289"/>
      <c r="E60" s="34"/>
      <c r="F60" s="167" t="s">
        <v>272</v>
      </c>
      <c r="G60" s="168" t="s">
        <v>272</v>
      </c>
      <c r="H60" s="169" t="s">
        <v>272</v>
      </c>
    </row>
    <row r="61" spans="1:8" s="13" customFormat="1" x14ac:dyDescent="0.25">
      <c r="A61" s="292"/>
      <c r="B61" s="293"/>
      <c r="C61" s="294" t="s">
        <v>75</v>
      </c>
      <c r="D61" s="295"/>
      <c r="E61" s="34"/>
      <c r="F61" s="151">
        <v>3</v>
      </c>
      <c r="G61" s="152">
        <v>3</v>
      </c>
      <c r="H61" s="153">
        <v>3</v>
      </c>
    </row>
    <row r="62" spans="1:8" s="13" customFormat="1" ht="29.1" customHeight="1" thickBot="1" x14ac:dyDescent="0.3">
      <c r="A62" s="285"/>
      <c r="B62" s="287"/>
      <c r="C62" s="282" t="s">
        <v>271</v>
      </c>
      <c r="D62" s="283"/>
      <c r="E62" s="34"/>
      <c r="F62" s="164">
        <v>2850</v>
      </c>
      <c r="G62" s="165">
        <v>2850</v>
      </c>
      <c r="H62" s="166">
        <v>2850</v>
      </c>
    </row>
    <row r="63" spans="1:8" s="13" customFormat="1" ht="17.45" customHeight="1" thickBot="1" x14ac:dyDescent="0.3">
      <c r="A63" s="50" t="s">
        <v>44</v>
      </c>
      <c r="B63" s="30" t="s">
        <v>45</v>
      </c>
      <c r="C63" s="298"/>
      <c r="D63" s="299"/>
      <c r="E63" s="35"/>
      <c r="F63" s="180"/>
      <c r="G63" s="171"/>
      <c r="H63" s="181"/>
    </row>
    <row r="64" spans="1:8" s="13" customFormat="1" ht="28.5" customHeight="1" thickBot="1" x14ac:dyDescent="0.3">
      <c r="A64" s="50" t="s">
        <v>44</v>
      </c>
      <c r="B64" s="30" t="s">
        <v>63</v>
      </c>
      <c r="C64" s="298"/>
      <c r="D64" s="299"/>
      <c r="E64" s="35"/>
      <c r="F64" s="180"/>
      <c r="G64" s="182"/>
      <c r="H64" s="181"/>
    </row>
    <row r="65" spans="1:8" s="13" customFormat="1" ht="28.5" customHeight="1" thickBot="1" x14ac:dyDescent="0.3">
      <c r="A65" s="50" t="s">
        <v>44</v>
      </c>
      <c r="B65" s="30" t="s">
        <v>64</v>
      </c>
      <c r="C65" s="298"/>
      <c r="D65" s="299"/>
      <c r="E65" s="35"/>
      <c r="F65" s="180"/>
      <c r="G65" s="182"/>
      <c r="H65" s="181"/>
    </row>
    <row r="66" spans="1:8" s="13" customFormat="1" ht="27.95" customHeight="1" thickBot="1" x14ac:dyDescent="0.3">
      <c r="A66" s="50" t="s">
        <v>50</v>
      </c>
      <c r="B66" s="30" t="s">
        <v>221</v>
      </c>
      <c r="C66" s="298"/>
      <c r="D66" s="299"/>
      <c r="E66" s="35"/>
      <c r="F66" s="180"/>
      <c r="G66" s="182"/>
      <c r="H66" s="181"/>
    </row>
    <row r="67" spans="1:8" s="13" customFormat="1" ht="15.6" customHeight="1" thickBot="1" x14ac:dyDescent="0.3">
      <c r="A67" s="50" t="s">
        <v>27</v>
      </c>
      <c r="B67" s="30" t="s">
        <v>220</v>
      </c>
      <c r="C67" s="310" t="s">
        <v>77</v>
      </c>
      <c r="D67" s="311"/>
      <c r="E67" s="34"/>
      <c r="F67" s="170" t="s">
        <v>270</v>
      </c>
      <c r="G67" s="171" t="s">
        <v>270</v>
      </c>
      <c r="H67" s="172" t="s">
        <v>270</v>
      </c>
    </row>
    <row r="68" spans="1:8" s="13" customFormat="1" ht="53.45" customHeight="1" thickBot="1" x14ac:dyDescent="0.3">
      <c r="A68" s="49" t="s">
        <v>219</v>
      </c>
      <c r="B68" s="30" t="s">
        <v>218</v>
      </c>
      <c r="C68" s="310"/>
      <c r="D68" s="311"/>
      <c r="E68" s="34"/>
      <c r="F68" s="170"/>
      <c r="G68" s="171"/>
      <c r="H68" s="172"/>
    </row>
    <row r="69" spans="1:8" s="13" customFormat="1" ht="15" customHeight="1" x14ac:dyDescent="0.25">
      <c r="A69" s="284" t="s">
        <v>28</v>
      </c>
      <c r="B69" s="286" t="s">
        <v>303</v>
      </c>
      <c r="C69" s="350" t="s">
        <v>267</v>
      </c>
      <c r="D69" s="289"/>
      <c r="E69" s="34"/>
      <c r="F69" s="167">
        <v>65</v>
      </c>
      <c r="G69" s="168">
        <v>65</v>
      </c>
      <c r="H69" s="168">
        <v>65</v>
      </c>
    </row>
    <row r="70" spans="1:8" s="13" customFormat="1" ht="39" thickBot="1" x14ac:dyDescent="0.3">
      <c r="A70" s="285"/>
      <c r="B70" s="287"/>
      <c r="C70" s="351" t="s">
        <v>266</v>
      </c>
      <c r="D70" s="283"/>
      <c r="E70" s="34"/>
      <c r="F70" s="164" t="s">
        <v>265</v>
      </c>
      <c r="G70" s="165" t="s">
        <v>265</v>
      </c>
      <c r="H70" s="166" t="s">
        <v>265</v>
      </c>
    </row>
    <row r="71" spans="1:8" s="13" customFormat="1" ht="40.5" customHeight="1" thickBot="1" x14ac:dyDescent="0.3">
      <c r="A71" s="50" t="s">
        <v>51</v>
      </c>
      <c r="B71" s="30" t="s">
        <v>217</v>
      </c>
      <c r="C71" s="298"/>
      <c r="D71" s="299"/>
      <c r="E71" s="35"/>
      <c r="F71" s="170"/>
      <c r="G71" s="171"/>
      <c r="H71" s="172"/>
    </row>
    <row r="72" spans="1:8" s="13" customFormat="1" ht="39.6" customHeight="1" thickBot="1" x14ac:dyDescent="0.3">
      <c r="A72" s="50" t="s">
        <v>54</v>
      </c>
      <c r="B72" s="30" t="s">
        <v>80</v>
      </c>
      <c r="C72" s="298"/>
      <c r="D72" s="299"/>
      <c r="E72" s="35"/>
      <c r="F72" s="170"/>
      <c r="G72" s="171"/>
      <c r="H72" s="172"/>
    </row>
    <row r="73" spans="1:8" s="13" customFormat="1" ht="78" customHeight="1" thickBot="1" x14ac:dyDescent="0.3">
      <c r="A73" s="50" t="s">
        <v>29</v>
      </c>
      <c r="B73" s="30" t="s">
        <v>216</v>
      </c>
      <c r="C73" s="298"/>
      <c r="D73" s="299"/>
      <c r="E73" s="35"/>
      <c r="F73" s="170"/>
      <c r="G73" s="171"/>
      <c r="H73" s="172"/>
    </row>
    <row r="74" spans="1:8" s="13" customFormat="1" ht="54.6" customHeight="1" thickBot="1" x14ac:dyDescent="0.3">
      <c r="A74" s="50" t="s">
        <v>31</v>
      </c>
      <c r="B74" s="30" t="s">
        <v>215</v>
      </c>
      <c r="C74" s="310" t="s">
        <v>30</v>
      </c>
      <c r="D74" s="311"/>
      <c r="E74" s="34"/>
      <c r="F74" s="170" t="s">
        <v>264</v>
      </c>
      <c r="G74" s="171" t="s">
        <v>264</v>
      </c>
      <c r="H74" s="172" t="s">
        <v>264</v>
      </c>
    </row>
    <row r="75" spans="1:8" s="13" customFormat="1" ht="30.95" customHeight="1" thickBot="1" x14ac:dyDescent="0.3">
      <c r="A75" s="50" t="s">
        <v>55</v>
      </c>
      <c r="B75" s="30" t="s">
        <v>95</v>
      </c>
      <c r="C75" s="298"/>
      <c r="D75" s="299"/>
      <c r="E75" s="35"/>
      <c r="F75" s="170"/>
      <c r="G75" s="171"/>
      <c r="H75" s="172"/>
    </row>
    <row r="76" spans="1:8" s="13" customFormat="1" ht="28.5" customHeight="1" thickBot="1" x14ac:dyDescent="0.3">
      <c r="A76" s="50" t="s">
        <v>32</v>
      </c>
      <c r="B76" s="30" t="s">
        <v>96</v>
      </c>
      <c r="C76" s="310" t="s">
        <v>30</v>
      </c>
      <c r="D76" s="311"/>
      <c r="E76" s="34"/>
      <c r="F76" s="170" t="s">
        <v>323</v>
      </c>
      <c r="G76" s="171" t="s">
        <v>323</v>
      </c>
      <c r="H76" s="172" t="s">
        <v>323</v>
      </c>
    </row>
    <row r="77" spans="1:8" s="13" customFormat="1" ht="39.6" customHeight="1" thickBot="1" x14ac:dyDescent="0.3">
      <c r="A77" s="50" t="s">
        <v>56</v>
      </c>
      <c r="B77" s="30" t="s">
        <v>167</v>
      </c>
      <c r="C77" s="298"/>
      <c r="D77" s="299"/>
      <c r="E77" s="35"/>
      <c r="F77" s="170"/>
      <c r="G77" s="171"/>
      <c r="H77" s="172"/>
    </row>
    <row r="78" spans="1:8" s="13" customFormat="1" ht="27" customHeight="1" thickBot="1" x14ac:dyDescent="0.3">
      <c r="A78" s="50" t="s">
        <v>48</v>
      </c>
      <c r="B78" s="30" t="s">
        <v>47</v>
      </c>
      <c r="C78" s="298"/>
      <c r="D78" s="299"/>
      <c r="E78" s="35"/>
      <c r="F78" s="170"/>
      <c r="G78" s="171"/>
      <c r="H78" s="172"/>
    </row>
    <row r="79" spans="1:8" s="13" customFormat="1" ht="26.25" thickBot="1" x14ac:dyDescent="0.3">
      <c r="A79" s="50" t="s">
        <v>49</v>
      </c>
      <c r="B79" s="30" t="s">
        <v>103</v>
      </c>
      <c r="C79" s="298"/>
      <c r="D79" s="299"/>
      <c r="E79" s="35"/>
      <c r="F79" s="170"/>
      <c r="G79" s="171"/>
      <c r="H79" s="172"/>
    </row>
    <row r="80" spans="1:8" s="13" customFormat="1" ht="26.25" thickBot="1" x14ac:dyDescent="0.3">
      <c r="A80" s="50" t="s">
        <v>46</v>
      </c>
      <c r="B80" s="30" t="s">
        <v>81</v>
      </c>
      <c r="C80" s="298"/>
      <c r="D80" s="299"/>
      <c r="E80" s="35"/>
      <c r="F80" s="170"/>
      <c r="G80" s="171"/>
      <c r="H80" s="172"/>
    </row>
    <row r="81" spans="1:8" ht="13.5" thickBot="1" x14ac:dyDescent="0.25"/>
    <row r="82" spans="1:8" s="17" customFormat="1" ht="18" customHeight="1" thickBot="1" x14ac:dyDescent="0.3">
      <c r="A82" s="303" t="s">
        <v>168</v>
      </c>
      <c r="B82" s="304"/>
      <c r="C82" s="304"/>
      <c r="D82" s="305"/>
      <c r="E82" s="38"/>
      <c r="F82" s="369" t="s">
        <v>262</v>
      </c>
      <c r="G82" s="370"/>
      <c r="H82" s="371"/>
    </row>
    <row r="83" spans="1:8" s="3" customFormat="1" ht="15" customHeight="1" thickBot="1" x14ac:dyDescent="0.3">
      <c r="A83" s="312" t="s">
        <v>169</v>
      </c>
      <c r="B83" s="313"/>
      <c r="C83" s="313"/>
      <c r="D83" s="314"/>
      <c r="E83" s="39"/>
      <c r="F83" s="117" t="s">
        <v>19</v>
      </c>
      <c r="G83" s="118" t="s">
        <v>261</v>
      </c>
      <c r="H83" s="119" t="s">
        <v>307</v>
      </c>
    </row>
    <row r="84" spans="1:8" s="13" customFormat="1" x14ac:dyDescent="0.25">
      <c r="A84" s="315" t="s">
        <v>83</v>
      </c>
      <c r="B84" s="316"/>
      <c r="C84" s="316"/>
      <c r="D84" s="317"/>
      <c r="E84" s="35"/>
      <c r="F84" s="183">
        <f>-500*('PPI Adj'!D6)</f>
        <v>-583.5</v>
      </c>
      <c r="G84" s="184">
        <f>-500*('PPI Adj'!D6)</f>
        <v>-583.5</v>
      </c>
      <c r="H84" s="185">
        <f>-500*('PPI Adj'!D6)</f>
        <v>-583.5</v>
      </c>
    </row>
    <row r="85" spans="1:8" s="13" customFormat="1" x14ac:dyDescent="0.25">
      <c r="A85" s="318" t="s">
        <v>34</v>
      </c>
      <c r="B85" s="319"/>
      <c r="C85" s="319"/>
      <c r="D85" s="320"/>
      <c r="E85" s="34"/>
      <c r="F85" s="186">
        <f>361*('PPI Adj'!D6)</f>
        <v>421.28700000000003</v>
      </c>
      <c r="G85" s="230">
        <f>361*('PPI Adj'!D6)</f>
        <v>421.28700000000003</v>
      </c>
      <c r="H85" s="187">
        <f>361*('PPI Adj'!D6)</f>
        <v>421.28700000000003</v>
      </c>
    </row>
    <row r="86" spans="1:8" s="13" customFormat="1" x14ac:dyDescent="0.25">
      <c r="A86" s="318" t="s">
        <v>35</v>
      </c>
      <c r="B86" s="319"/>
      <c r="C86" s="319"/>
      <c r="D86" s="320"/>
      <c r="E86" s="35"/>
      <c r="F86" s="186">
        <f>600*('PPI Adj'!D6)</f>
        <v>700.2</v>
      </c>
      <c r="G86" s="230">
        <f>600*('PPI Adj'!D6)</f>
        <v>700.2</v>
      </c>
      <c r="H86" s="187">
        <f>600*('PPI Adj'!D6)</f>
        <v>700.2</v>
      </c>
    </row>
    <row r="87" spans="1:8" s="13" customFormat="1" x14ac:dyDescent="0.25">
      <c r="A87" s="318" t="s">
        <v>36</v>
      </c>
      <c r="B87" s="319"/>
      <c r="C87" s="319"/>
      <c r="D87" s="320"/>
      <c r="E87" s="34"/>
      <c r="F87" s="186" t="s">
        <v>188</v>
      </c>
      <c r="G87" s="230" t="s">
        <v>188</v>
      </c>
      <c r="H87" s="187" t="s">
        <v>188</v>
      </c>
    </row>
    <row r="88" spans="1:8" s="13" customFormat="1" x14ac:dyDescent="0.25">
      <c r="A88" s="318" t="s">
        <v>60</v>
      </c>
      <c r="B88" s="319"/>
      <c r="C88" s="319"/>
      <c r="D88" s="320"/>
      <c r="E88" s="34"/>
      <c r="F88" s="186">
        <f>250*('PPI Adj'!D6)</f>
        <v>291.75</v>
      </c>
      <c r="G88" s="188">
        <f>250*('PPI Adj'!D6)</f>
        <v>291.75</v>
      </c>
      <c r="H88" s="187">
        <f>250*('PPI Adj'!D6)</f>
        <v>291.75</v>
      </c>
    </row>
    <row r="89" spans="1:8" s="13" customFormat="1" x14ac:dyDescent="0.25">
      <c r="A89" s="318" t="s">
        <v>61</v>
      </c>
      <c r="B89" s="319"/>
      <c r="C89" s="319"/>
      <c r="D89" s="320"/>
      <c r="E89" s="34"/>
      <c r="F89" s="186" t="s">
        <v>188</v>
      </c>
      <c r="G89" s="188" t="s">
        <v>188</v>
      </c>
      <c r="H89" s="187" t="s">
        <v>188</v>
      </c>
    </row>
    <row r="90" spans="1:8" s="13" customFormat="1" x14ac:dyDescent="0.25">
      <c r="A90" s="318" t="s">
        <v>86</v>
      </c>
      <c r="B90" s="319"/>
      <c r="C90" s="319"/>
      <c r="D90" s="320"/>
      <c r="E90" s="34"/>
      <c r="F90" s="186">
        <f>300*('PPI Adj'!D6)</f>
        <v>350.1</v>
      </c>
      <c r="G90" s="188">
        <f>300*('PPI Adj'!D6)</f>
        <v>350.1</v>
      </c>
      <c r="H90" s="187">
        <f>300*('PPI Adj'!D6)</f>
        <v>350.1</v>
      </c>
    </row>
    <row r="91" spans="1:8" x14ac:dyDescent="0.2">
      <c r="A91" s="318" t="s">
        <v>85</v>
      </c>
      <c r="B91" s="319"/>
      <c r="C91" s="319"/>
      <c r="D91" s="320"/>
      <c r="E91" s="34"/>
      <c r="F91" s="186" t="s">
        <v>182</v>
      </c>
      <c r="G91" s="188" t="s">
        <v>182</v>
      </c>
      <c r="H91" s="187" t="s">
        <v>182</v>
      </c>
    </row>
    <row r="92" spans="1:8" x14ac:dyDescent="0.2">
      <c r="A92" s="318" t="s">
        <v>13</v>
      </c>
      <c r="B92" s="319"/>
      <c r="C92" s="319"/>
      <c r="D92" s="320"/>
      <c r="E92" s="34"/>
      <c r="F92" s="186">
        <f>8605*('PPI Adj'!D6)</f>
        <v>10042.035</v>
      </c>
      <c r="G92" s="188">
        <f>8605*('PPI Adj'!D6)</f>
        <v>10042.035</v>
      </c>
      <c r="H92" s="187">
        <f>8605*('PPI Adj'!D6)</f>
        <v>10042.035</v>
      </c>
    </row>
    <row r="93" spans="1:8" x14ac:dyDescent="0.2">
      <c r="A93" s="318" t="s">
        <v>37</v>
      </c>
      <c r="B93" s="319"/>
      <c r="C93" s="319"/>
      <c r="D93" s="320"/>
      <c r="E93" s="35"/>
      <c r="F93" s="186" t="s">
        <v>188</v>
      </c>
      <c r="G93" s="188" t="s">
        <v>188</v>
      </c>
      <c r="H93" s="187" t="s">
        <v>188</v>
      </c>
    </row>
    <row r="94" spans="1:8" x14ac:dyDescent="0.2">
      <c r="A94" s="318" t="s">
        <v>38</v>
      </c>
      <c r="B94" s="319"/>
      <c r="C94" s="319"/>
      <c r="D94" s="320"/>
      <c r="E94" s="35"/>
      <c r="F94" s="186">
        <f>790*('PPI Adj'!D6)</f>
        <v>921.93000000000006</v>
      </c>
      <c r="G94" s="188">
        <f>790*('PPI Adj'!D6)</f>
        <v>921.93000000000006</v>
      </c>
      <c r="H94" s="187">
        <f>790*('PPI Adj'!D6)</f>
        <v>921.93000000000006</v>
      </c>
    </row>
    <row r="95" spans="1:8" x14ac:dyDescent="0.2">
      <c r="A95" s="318" t="s">
        <v>206</v>
      </c>
      <c r="B95" s="319"/>
      <c r="C95" s="319"/>
      <c r="D95" s="320"/>
      <c r="E95" s="35"/>
      <c r="F95" s="186" t="s">
        <v>188</v>
      </c>
      <c r="G95" s="188" t="s">
        <v>188</v>
      </c>
      <c r="H95" s="187" t="s">
        <v>188</v>
      </c>
    </row>
    <row r="96" spans="1:8" x14ac:dyDescent="0.2">
      <c r="A96" s="318" t="s">
        <v>39</v>
      </c>
      <c r="B96" s="319"/>
      <c r="C96" s="319"/>
      <c r="D96" s="320"/>
      <c r="E96" s="34"/>
      <c r="F96" s="186">
        <f>48*('PPI Adj'!D6)</f>
        <v>56.016000000000005</v>
      </c>
      <c r="G96" s="188">
        <f>48*('PPI Adj'!D6)</f>
        <v>56.016000000000005</v>
      </c>
      <c r="H96" s="187">
        <f>48*('PPI Adj'!D6)</f>
        <v>56.016000000000005</v>
      </c>
    </row>
    <row r="97" spans="1:8" x14ac:dyDescent="0.2">
      <c r="A97" s="318" t="s">
        <v>88</v>
      </c>
      <c r="B97" s="319"/>
      <c r="C97" s="319"/>
      <c r="D97" s="320"/>
      <c r="E97" s="34"/>
      <c r="F97" s="186">
        <f>6902*('PPI Adj'!D6)</f>
        <v>8054.634</v>
      </c>
      <c r="G97" s="188">
        <f>6902*('PPI Adj'!D6)</f>
        <v>8054.634</v>
      </c>
      <c r="H97" s="187">
        <f>6902*('PPI Adj'!D6)</f>
        <v>8054.634</v>
      </c>
    </row>
    <row r="98" spans="1:8" x14ac:dyDescent="0.2">
      <c r="A98" s="318" t="s">
        <v>40</v>
      </c>
      <c r="B98" s="319"/>
      <c r="C98" s="319"/>
      <c r="D98" s="320"/>
      <c r="E98" s="34"/>
      <c r="F98" s="186">
        <f>783*('PPI Adj'!D6)</f>
        <v>913.76100000000008</v>
      </c>
      <c r="G98" s="188">
        <f>783*('PPI Adj'!D6)</f>
        <v>913.76100000000008</v>
      </c>
      <c r="H98" s="187">
        <f>783*('PPI Adj'!D6)</f>
        <v>913.76100000000008</v>
      </c>
    </row>
    <row r="99" spans="1:8" x14ac:dyDescent="0.2">
      <c r="A99" s="318" t="s">
        <v>14</v>
      </c>
      <c r="B99" s="319"/>
      <c r="C99" s="319"/>
      <c r="D99" s="320"/>
      <c r="E99" s="34"/>
      <c r="F99" s="186">
        <f>14206*('PPI Adj'!D6)</f>
        <v>16578.402000000002</v>
      </c>
      <c r="G99" s="188">
        <f>14206*('PPI Adj'!D6)</f>
        <v>16578.402000000002</v>
      </c>
      <c r="H99" s="189">
        <f>14206*('PPI Adj'!D6)</f>
        <v>16578.402000000002</v>
      </c>
    </row>
    <row r="100" spans="1:8" x14ac:dyDescent="0.2">
      <c r="A100" s="318" t="s">
        <v>91</v>
      </c>
      <c r="B100" s="319"/>
      <c r="C100" s="319"/>
      <c r="D100" s="320"/>
      <c r="E100" s="34"/>
      <c r="F100" s="186">
        <f>3055*('PPI Adj'!D6)</f>
        <v>3565.1849999999999</v>
      </c>
      <c r="G100" s="188">
        <f>3055*('PPI Adj'!D6)</f>
        <v>3565.1849999999999</v>
      </c>
      <c r="H100" s="189">
        <f>3055*('PPI Adj'!D6)</f>
        <v>3565.1849999999999</v>
      </c>
    </row>
    <row r="101" spans="1:8" x14ac:dyDescent="0.2">
      <c r="A101" s="324" t="s">
        <v>324</v>
      </c>
      <c r="B101" s="325"/>
      <c r="C101" s="325"/>
      <c r="D101" s="326"/>
      <c r="E101" s="34"/>
      <c r="F101" s="190">
        <f>-893*('PPI Adj'!D6)</f>
        <v>-1042.1310000000001</v>
      </c>
      <c r="G101" s="191">
        <f>-893*('PPI Adj'!D6)</f>
        <v>-1042.1310000000001</v>
      </c>
      <c r="H101" s="192">
        <f>-893*('PPI Adj'!D6)</f>
        <v>-1042.1310000000001</v>
      </c>
    </row>
    <row r="102" spans="1:8" ht="13.5" customHeight="1" thickBot="1" x14ac:dyDescent="0.25">
      <c r="A102" s="342" t="s">
        <v>92</v>
      </c>
      <c r="B102" s="343"/>
      <c r="C102" s="343"/>
      <c r="D102" s="344"/>
      <c r="E102" s="35"/>
      <c r="F102" s="193">
        <f>-946*('PPI Adj'!D6)</f>
        <v>-1103.982</v>
      </c>
      <c r="G102" s="194">
        <f>-946*('PPI Adj'!D6)</f>
        <v>-1103.982</v>
      </c>
      <c r="H102" s="195">
        <f>-946*('PPI Adj'!D6)</f>
        <v>-1103.982</v>
      </c>
    </row>
    <row r="103" spans="1:8" ht="13.5" thickBot="1" x14ac:dyDescent="0.25"/>
    <row r="104" spans="1:8" s="17" customFormat="1" ht="18" customHeight="1" thickBot="1" x14ac:dyDescent="0.3">
      <c r="A104" s="303" t="s">
        <v>166</v>
      </c>
      <c r="B104" s="304"/>
      <c r="C104" s="304"/>
      <c r="D104" s="305"/>
      <c r="E104" s="38"/>
      <c r="F104" s="369" t="s">
        <v>262</v>
      </c>
      <c r="G104" s="370"/>
      <c r="H104" s="371"/>
    </row>
    <row r="105" spans="1:8" s="3" customFormat="1" ht="15" customHeight="1" thickBot="1" x14ac:dyDescent="0.3">
      <c r="A105" s="52" t="s">
        <v>33</v>
      </c>
      <c r="B105" s="24" t="s">
        <v>7</v>
      </c>
      <c r="C105" s="327" t="s">
        <v>165</v>
      </c>
      <c r="D105" s="328"/>
      <c r="E105" s="39"/>
      <c r="F105" s="117" t="s">
        <v>19</v>
      </c>
      <c r="G105" s="118" t="s">
        <v>261</v>
      </c>
      <c r="H105" s="119" t="s">
        <v>307</v>
      </c>
    </row>
    <row r="106" spans="1:8" s="13" customFormat="1" ht="41.1" customHeight="1" thickBot="1" x14ac:dyDescent="0.3">
      <c r="A106" s="53" t="s">
        <v>83</v>
      </c>
      <c r="B106" s="23" t="s">
        <v>146</v>
      </c>
      <c r="C106" s="329"/>
      <c r="D106" s="330"/>
      <c r="E106" s="35"/>
      <c r="F106" s="196"/>
      <c r="G106" s="171"/>
      <c r="H106" s="172"/>
    </row>
    <row r="107" spans="1:8" s="13" customFormat="1" ht="26.25" thickBot="1" x14ac:dyDescent="0.3">
      <c r="A107" s="50" t="s">
        <v>34</v>
      </c>
      <c r="B107" s="30" t="s">
        <v>107</v>
      </c>
      <c r="C107" s="310" t="s">
        <v>30</v>
      </c>
      <c r="D107" s="311"/>
      <c r="E107" s="34"/>
      <c r="F107" s="196" t="s">
        <v>325</v>
      </c>
      <c r="G107" s="171" t="s">
        <v>325</v>
      </c>
      <c r="H107" s="133" t="s">
        <v>325</v>
      </c>
    </row>
    <row r="108" spans="1:8" s="13" customFormat="1" ht="51.95" customHeight="1" thickBot="1" x14ac:dyDescent="0.3">
      <c r="A108" s="50" t="s">
        <v>35</v>
      </c>
      <c r="B108" s="30" t="s">
        <v>97</v>
      </c>
      <c r="C108" s="298"/>
      <c r="D108" s="299"/>
      <c r="E108" s="35"/>
      <c r="F108" s="196"/>
      <c r="G108" s="171"/>
      <c r="H108" s="133"/>
    </row>
    <row r="109" spans="1:8" s="13" customFormat="1" ht="39" thickBot="1" x14ac:dyDescent="0.3">
      <c r="A109" s="50" t="s">
        <v>36</v>
      </c>
      <c r="B109" s="30" t="s">
        <v>84</v>
      </c>
      <c r="C109" s="310" t="s">
        <v>99</v>
      </c>
      <c r="D109" s="311"/>
      <c r="E109" s="34"/>
      <c r="F109" s="196" t="s">
        <v>326</v>
      </c>
      <c r="G109" s="171" t="s">
        <v>326</v>
      </c>
      <c r="H109" s="133" t="s">
        <v>326</v>
      </c>
    </row>
    <row r="110" spans="1:8" s="13" customFormat="1" ht="12.75" customHeight="1" x14ac:dyDescent="0.25">
      <c r="A110" s="284" t="s">
        <v>60</v>
      </c>
      <c r="B110" s="286" t="s">
        <v>133</v>
      </c>
      <c r="C110" s="288" t="s">
        <v>208</v>
      </c>
      <c r="D110" s="289"/>
      <c r="E110" s="34"/>
      <c r="F110" s="197" t="s">
        <v>259</v>
      </c>
      <c r="G110" s="168" t="s">
        <v>259</v>
      </c>
      <c r="H110" s="169" t="s">
        <v>259</v>
      </c>
    </row>
    <row r="111" spans="1:8" s="13" customFormat="1" x14ac:dyDescent="0.25">
      <c r="A111" s="292"/>
      <c r="B111" s="293"/>
      <c r="C111" s="294" t="s">
        <v>207</v>
      </c>
      <c r="D111" s="295"/>
      <c r="E111" s="34"/>
      <c r="F111" s="198">
        <v>5512</v>
      </c>
      <c r="G111" s="152">
        <v>5512</v>
      </c>
      <c r="H111" s="153">
        <v>5512</v>
      </c>
    </row>
    <row r="112" spans="1:8" s="13" customFormat="1" x14ac:dyDescent="0.25">
      <c r="A112" s="292"/>
      <c r="B112" s="293"/>
      <c r="C112" s="294" t="s">
        <v>114</v>
      </c>
      <c r="D112" s="295"/>
      <c r="E112" s="34"/>
      <c r="F112" s="198">
        <v>7372115810</v>
      </c>
      <c r="G112" s="152">
        <v>7372115810</v>
      </c>
      <c r="H112" s="153">
        <v>7372115810</v>
      </c>
    </row>
    <row r="113" spans="1:8" s="13" customFormat="1" ht="30.75" customHeight="1" thickBot="1" x14ac:dyDescent="0.3">
      <c r="A113" s="285"/>
      <c r="B113" s="287"/>
      <c r="C113" s="282" t="s">
        <v>115</v>
      </c>
      <c r="D113" s="283"/>
      <c r="E113" s="34"/>
      <c r="F113" s="199" t="s">
        <v>327</v>
      </c>
      <c r="G113" s="165" t="s">
        <v>327</v>
      </c>
      <c r="H113" s="166" t="s">
        <v>327</v>
      </c>
    </row>
    <row r="114" spans="1:8" s="13" customFormat="1" ht="12.75" customHeight="1" x14ac:dyDescent="0.25">
      <c r="A114" s="284" t="s">
        <v>61</v>
      </c>
      <c r="B114" s="286" t="s">
        <v>211</v>
      </c>
      <c r="C114" s="288" t="s">
        <v>210</v>
      </c>
      <c r="D114" s="289"/>
      <c r="E114" s="34"/>
      <c r="F114" s="197" t="s">
        <v>259</v>
      </c>
      <c r="G114" s="168" t="s">
        <v>259</v>
      </c>
      <c r="H114" s="169" t="s">
        <v>259</v>
      </c>
    </row>
    <row r="115" spans="1:8" s="13" customFormat="1" x14ac:dyDescent="0.25">
      <c r="A115" s="292"/>
      <c r="B115" s="293"/>
      <c r="C115" s="294" t="s">
        <v>209</v>
      </c>
      <c r="D115" s="295"/>
      <c r="E115" s="34"/>
      <c r="F115" s="200">
        <v>5677</v>
      </c>
      <c r="G115" s="176">
        <v>5677</v>
      </c>
      <c r="H115" s="177">
        <v>5677</v>
      </c>
    </row>
    <row r="116" spans="1:8" s="13" customFormat="1" x14ac:dyDescent="0.25">
      <c r="A116" s="292"/>
      <c r="B116" s="293"/>
      <c r="C116" s="294" t="s">
        <v>208</v>
      </c>
      <c r="D116" s="295"/>
      <c r="E116" s="34"/>
      <c r="F116" s="200" t="s">
        <v>259</v>
      </c>
      <c r="G116" s="176" t="s">
        <v>259</v>
      </c>
      <c r="H116" s="177" t="s">
        <v>259</v>
      </c>
    </row>
    <row r="117" spans="1:8" s="13" customFormat="1" x14ac:dyDescent="0.25">
      <c r="A117" s="292"/>
      <c r="B117" s="293"/>
      <c r="C117" s="294" t="s">
        <v>207</v>
      </c>
      <c r="D117" s="295"/>
      <c r="E117" s="34"/>
      <c r="F117" s="198">
        <v>5677</v>
      </c>
      <c r="G117" s="152">
        <v>5677</v>
      </c>
      <c r="H117" s="153">
        <v>5677</v>
      </c>
    </row>
    <row r="118" spans="1:8" s="13" customFormat="1" x14ac:dyDescent="0.25">
      <c r="A118" s="292"/>
      <c r="B118" s="293"/>
      <c r="C118" s="294" t="s">
        <v>112</v>
      </c>
      <c r="D118" s="295"/>
      <c r="E118" s="34"/>
      <c r="F118" s="198">
        <v>7372115809</v>
      </c>
      <c r="G118" s="152">
        <v>7372115809</v>
      </c>
      <c r="H118" s="153">
        <v>7372115809</v>
      </c>
    </row>
    <row r="119" spans="1:8" s="13" customFormat="1" x14ac:dyDescent="0.25">
      <c r="A119" s="292"/>
      <c r="B119" s="293"/>
      <c r="C119" s="294" t="s">
        <v>113</v>
      </c>
      <c r="D119" s="295"/>
      <c r="E119" s="34"/>
      <c r="F119" s="200" t="s">
        <v>320</v>
      </c>
      <c r="G119" s="176" t="s">
        <v>320</v>
      </c>
      <c r="H119" s="177" t="s">
        <v>320</v>
      </c>
    </row>
    <row r="120" spans="1:8" s="13" customFormat="1" x14ac:dyDescent="0.25">
      <c r="A120" s="292"/>
      <c r="B120" s="293"/>
      <c r="C120" s="294" t="s">
        <v>114</v>
      </c>
      <c r="D120" s="295"/>
      <c r="E120" s="34"/>
      <c r="F120" s="200">
        <v>7372115809</v>
      </c>
      <c r="G120" s="176">
        <v>7372115809</v>
      </c>
      <c r="H120" s="153">
        <v>7372115809</v>
      </c>
    </row>
    <row r="121" spans="1:8" s="13" customFormat="1" ht="13.5" thickBot="1" x14ac:dyDescent="0.3">
      <c r="A121" s="285"/>
      <c r="B121" s="287"/>
      <c r="C121" s="282" t="s">
        <v>115</v>
      </c>
      <c r="D121" s="283"/>
      <c r="E121" s="34"/>
      <c r="F121" s="199" t="s">
        <v>320</v>
      </c>
      <c r="G121" s="165" t="s">
        <v>320</v>
      </c>
      <c r="H121" s="177" t="s">
        <v>320</v>
      </c>
    </row>
    <row r="122" spans="1:8" s="13" customFormat="1" ht="143.44999999999999" customHeight="1" thickBot="1" x14ac:dyDescent="0.3">
      <c r="A122" s="54" t="s">
        <v>86</v>
      </c>
      <c r="B122" s="18" t="s">
        <v>143</v>
      </c>
      <c r="C122" s="310" t="s">
        <v>104</v>
      </c>
      <c r="D122" s="311"/>
      <c r="E122" s="34"/>
      <c r="F122" s="197" t="s">
        <v>328</v>
      </c>
      <c r="G122" s="171" t="s">
        <v>328</v>
      </c>
      <c r="H122" s="172" t="s">
        <v>328</v>
      </c>
    </row>
    <row r="123" spans="1:8" ht="168.6" customHeight="1" thickBot="1" x14ac:dyDescent="0.25">
      <c r="A123" s="50" t="s">
        <v>85</v>
      </c>
      <c r="B123" s="14" t="s">
        <v>170</v>
      </c>
      <c r="C123" s="310" t="s">
        <v>104</v>
      </c>
      <c r="D123" s="311"/>
      <c r="E123" s="34"/>
      <c r="F123" s="196" t="s">
        <v>182</v>
      </c>
      <c r="G123" s="171" t="s">
        <v>182</v>
      </c>
      <c r="H123" s="172" t="s">
        <v>182</v>
      </c>
    </row>
    <row r="124" spans="1:8" x14ac:dyDescent="0.2">
      <c r="A124" s="284" t="s">
        <v>13</v>
      </c>
      <c r="B124" s="286" t="s">
        <v>98</v>
      </c>
      <c r="C124" s="288" t="s">
        <v>30</v>
      </c>
      <c r="D124" s="289"/>
      <c r="E124" s="34"/>
      <c r="F124" s="197" t="s">
        <v>329</v>
      </c>
      <c r="G124" s="168" t="s">
        <v>329</v>
      </c>
      <c r="H124" s="169" t="s">
        <v>329</v>
      </c>
    </row>
    <row r="125" spans="1:8" ht="29.45" customHeight="1" thickBot="1" x14ac:dyDescent="0.25">
      <c r="A125" s="285"/>
      <c r="B125" s="287"/>
      <c r="C125" s="282" t="s">
        <v>109</v>
      </c>
      <c r="D125" s="283"/>
      <c r="E125" s="34"/>
      <c r="F125" s="199" t="s">
        <v>258</v>
      </c>
      <c r="G125" s="201" t="s">
        <v>258</v>
      </c>
      <c r="H125" s="202" t="s">
        <v>258</v>
      </c>
    </row>
    <row r="126" spans="1:8" ht="66.95" customHeight="1" thickBot="1" x14ac:dyDescent="0.25">
      <c r="A126" s="50" t="s">
        <v>37</v>
      </c>
      <c r="B126" s="30" t="s">
        <v>135</v>
      </c>
      <c r="C126" s="298"/>
      <c r="D126" s="299"/>
      <c r="E126" s="35"/>
      <c r="F126" s="196" t="s">
        <v>330</v>
      </c>
      <c r="G126" s="171" t="s">
        <v>330</v>
      </c>
      <c r="H126" s="166" t="s">
        <v>330</v>
      </c>
    </row>
    <row r="127" spans="1:8" ht="41.1" customHeight="1" thickBot="1" x14ac:dyDescent="0.25">
      <c r="A127" s="50" t="s">
        <v>38</v>
      </c>
      <c r="B127" s="30" t="s">
        <v>87</v>
      </c>
      <c r="C127" s="298"/>
      <c r="D127" s="299"/>
      <c r="E127" s="35"/>
      <c r="F127" s="196"/>
      <c r="G127" s="171"/>
      <c r="H127" s="172"/>
    </row>
    <row r="128" spans="1:8" ht="14.45" customHeight="1" thickBot="1" x14ac:dyDescent="0.25">
      <c r="A128" s="50" t="s">
        <v>206</v>
      </c>
      <c r="B128" s="30" t="s">
        <v>205</v>
      </c>
      <c r="C128" s="310"/>
      <c r="D128" s="311"/>
      <c r="E128" s="34"/>
      <c r="F128" s="196" t="s">
        <v>188</v>
      </c>
      <c r="G128" s="171" t="s">
        <v>188</v>
      </c>
      <c r="H128" s="172" t="s">
        <v>188</v>
      </c>
    </row>
    <row r="129" spans="1:8" ht="26.45" customHeight="1" thickBot="1" x14ac:dyDescent="0.25">
      <c r="A129" s="50" t="s">
        <v>39</v>
      </c>
      <c r="B129" s="30" t="s">
        <v>106</v>
      </c>
      <c r="C129" s="310" t="s">
        <v>105</v>
      </c>
      <c r="D129" s="311"/>
      <c r="E129" s="34"/>
      <c r="F129" s="196" t="s">
        <v>331</v>
      </c>
      <c r="G129" s="171" t="s">
        <v>331</v>
      </c>
      <c r="H129" s="172" t="s">
        <v>331</v>
      </c>
    </row>
    <row r="130" spans="1:8" x14ac:dyDescent="0.2">
      <c r="A130" s="284" t="s">
        <v>88</v>
      </c>
      <c r="B130" s="286" t="s">
        <v>148</v>
      </c>
      <c r="C130" s="288" t="s">
        <v>100</v>
      </c>
      <c r="D130" s="289"/>
      <c r="E130" s="34"/>
      <c r="F130" s="197" t="s">
        <v>340</v>
      </c>
      <c r="G130" s="203" t="s">
        <v>340</v>
      </c>
      <c r="H130" s="169" t="s">
        <v>340</v>
      </c>
    </row>
    <row r="131" spans="1:8" ht="108" customHeight="1" thickBot="1" x14ac:dyDescent="0.25">
      <c r="A131" s="285"/>
      <c r="B131" s="287"/>
      <c r="C131" s="282" t="s">
        <v>110</v>
      </c>
      <c r="D131" s="283"/>
      <c r="E131" s="34"/>
      <c r="F131" s="204" t="s">
        <v>332</v>
      </c>
      <c r="G131" s="174" t="s">
        <v>332</v>
      </c>
      <c r="H131" s="205" t="s">
        <v>332</v>
      </c>
    </row>
    <row r="132" spans="1:8" ht="28.5" customHeight="1" thickBot="1" x14ac:dyDescent="0.25">
      <c r="A132" s="50" t="s">
        <v>40</v>
      </c>
      <c r="B132" s="30" t="s">
        <v>137</v>
      </c>
      <c r="C132" s="310" t="s">
        <v>100</v>
      </c>
      <c r="D132" s="311"/>
      <c r="E132" s="34"/>
      <c r="F132" s="199" t="s">
        <v>333</v>
      </c>
      <c r="G132" s="165" t="s">
        <v>333</v>
      </c>
      <c r="H132" s="166" t="s">
        <v>333</v>
      </c>
    </row>
    <row r="133" spans="1:8" ht="54.6" customHeight="1" thickBot="1" x14ac:dyDescent="0.25">
      <c r="A133" s="50" t="s">
        <v>14</v>
      </c>
      <c r="B133" s="30" t="s">
        <v>138</v>
      </c>
      <c r="C133" s="310" t="s">
        <v>139</v>
      </c>
      <c r="D133" s="311"/>
      <c r="E133" s="34"/>
      <c r="F133" s="196" t="s">
        <v>353</v>
      </c>
      <c r="G133" s="206" t="s">
        <v>353</v>
      </c>
      <c r="H133" s="172" t="s">
        <v>353</v>
      </c>
    </row>
    <row r="134" spans="1:8" ht="66" customHeight="1" thickBot="1" x14ac:dyDescent="0.25">
      <c r="A134" s="50" t="s">
        <v>91</v>
      </c>
      <c r="B134" s="30" t="s">
        <v>144</v>
      </c>
      <c r="C134" s="310" t="s">
        <v>100</v>
      </c>
      <c r="D134" s="311"/>
      <c r="E134" s="34"/>
      <c r="F134" s="196" t="s">
        <v>336</v>
      </c>
      <c r="G134" s="171" t="s">
        <v>336</v>
      </c>
      <c r="H134" s="172" t="s">
        <v>336</v>
      </c>
    </row>
    <row r="135" spans="1:8" ht="65.45" customHeight="1" thickBot="1" x14ac:dyDescent="0.25">
      <c r="A135" s="50" t="s">
        <v>92</v>
      </c>
      <c r="B135" s="30" t="s">
        <v>145</v>
      </c>
      <c r="C135" s="298"/>
      <c r="D135" s="299"/>
      <c r="E135" s="35"/>
      <c r="F135" s="196"/>
      <c r="G135" s="206"/>
      <c r="H135" s="172"/>
    </row>
  </sheetData>
  <sheetProtection algorithmName="SHA-512" hashValue="UY+uhm9F5rOvOsCR6xV74VUpmsKhgV+QjCHuaL5+cpMXjdF33Ion67VG15DLPSI5y3jBKLOqP+N34rUVnaM1GQ==" saltValue="Wn4/PZFGIuLgDCM1MW5opQ==" spinCount="100000" sheet="1" objects="1" scenarios="1"/>
  <dataConsolidate/>
  <mergeCells count="159">
    <mergeCell ref="C134:D134"/>
    <mergeCell ref="C135:D135"/>
    <mergeCell ref="C126:D126"/>
    <mergeCell ref="C127:D127"/>
    <mergeCell ref="C128:D128"/>
    <mergeCell ref="C129:D129"/>
    <mergeCell ref="C119:D119"/>
    <mergeCell ref="C120:D120"/>
    <mergeCell ref="C121:D121"/>
    <mergeCell ref="A130:A131"/>
    <mergeCell ref="B130:B131"/>
    <mergeCell ref="C130:D130"/>
    <mergeCell ref="C131:D131"/>
    <mergeCell ref="C132:D132"/>
    <mergeCell ref="C133:D133"/>
    <mergeCell ref="C105:D105"/>
    <mergeCell ref="C106:D106"/>
    <mergeCell ref="C107:D107"/>
    <mergeCell ref="C122:D122"/>
    <mergeCell ref="C123:D123"/>
    <mergeCell ref="A124:A125"/>
    <mergeCell ref="B124:B125"/>
    <mergeCell ref="C124:D124"/>
    <mergeCell ref="C125:D125"/>
    <mergeCell ref="A114:A121"/>
    <mergeCell ref="C108:D108"/>
    <mergeCell ref="C109:D109"/>
    <mergeCell ref="A110:A113"/>
    <mergeCell ref="B110:B113"/>
    <mergeCell ref="C110:D110"/>
    <mergeCell ref="C111:D111"/>
    <mergeCell ref="C112:D112"/>
    <mergeCell ref="C113:D113"/>
    <mergeCell ref="B114:B121"/>
    <mergeCell ref="C114:D114"/>
    <mergeCell ref="C115:D115"/>
    <mergeCell ref="C116:D116"/>
    <mergeCell ref="C117:D117"/>
    <mergeCell ref="C118:D118"/>
    <mergeCell ref="A100:D100"/>
    <mergeCell ref="F104:H104"/>
    <mergeCell ref="A89:D89"/>
    <mergeCell ref="A90:D90"/>
    <mergeCell ref="A91:D91"/>
    <mergeCell ref="A92:D92"/>
    <mergeCell ref="A93:D93"/>
    <mergeCell ref="A94:D94"/>
    <mergeCell ref="A102:D102"/>
    <mergeCell ref="A104:D104"/>
    <mergeCell ref="A101:D101"/>
    <mergeCell ref="A95:D95"/>
    <mergeCell ref="A96:D96"/>
    <mergeCell ref="A97:D97"/>
    <mergeCell ref="A98:D98"/>
    <mergeCell ref="A99:D99"/>
    <mergeCell ref="A83:D83"/>
    <mergeCell ref="A84:D84"/>
    <mergeCell ref="A85:D85"/>
    <mergeCell ref="A86:D86"/>
    <mergeCell ref="A87:D87"/>
    <mergeCell ref="A88:D88"/>
    <mergeCell ref="F82:H82"/>
    <mergeCell ref="C64:D64"/>
    <mergeCell ref="C65:D65"/>
    <mergeCell ref="C66:D66"/>
    <mergeCell ref="C67:D67"/>
    <mergeCell ref="C68:D68"/>
    <mergeCell ref="C77:D77"/>
    <mergeCell ref="C78:D78"/>
    <mergeCell ref="C79:D79"/>
    <mergeCell ref="C80:D80"/>
    <mergeCell ref="C71:D71"/>
    <mergeCell ref="C72:D72"/>
    <mergeCell ref="C73:D73"/>
    <mergeCell ref="C74:D74"/>
    <mergeCell ref="C75:D75"/>
    <mergeCell ref="C76:D76"/>
    <mergeCell ref="A82:D82"/>
    <mergeCell ref="A69:A70"/>
    <mergeCell ref="B69:B70"/>
    <mergeCell ref="C69:D69"/>
    <mergeCell ref="C70:D70"/>
    <mergeCell ref="A60:A62"/>
    <mergeCell ref="B60:B62"/>
    <mergeCell ref="C60:D60"/>
    <mergeCell ref="C61:D61"/>
    <mergeCell ref="C62:D62"/>
    <mergeCell ref="C63:D63"/>
    <mergeCell ref="A53:A55"/>
    <mergeCell ref="B53:B55"/>
    <mergeCell ref="C53:D53"/>
    <mergeCell ref="C54:D54"/>
    <mergeCell ref="C55:D55"/>
    <mergeCell ref="C56:D56"/>
    <mergeCell ref="C57:D57"/>
    <mergeCell ref="A58:A59"/>
    <mergeCell ref="B58:B59"/>
    <mergeCell ref="C58:D58"/>
    <mergeCell ref="C59:D59"/>
    <mergeCell ref="C44:D44"/>
    <mergeCell ref="A45:A52"/>
    <mergeCell ref="B45:B52"/>
    <mergeCell ref="C45:D45"/>
    <mergeCell ref="C46:D46"/>
    <mergeCell ref="C47:D47"/>
    <mergeCell ref="C48:D48"/>
    <mergeCell ref="C49:D49"/>
    <mergeCell ref="C50:D50"/>
    <mergeCell ref="C51:D51"/>
    <mergeCell ref="C52:D52"/>
    <mergeCell ref="C42:D42"/>
    <mergeCell ref="C43:D43"/>
    <mergeCell ref="C29:D29"/>
    <mergeCell ref="A30:A34"/>
    <mergeCell ref="B30:B34"/>
    <mergeCell ref="C30:D30"/>
    <mergeCell ref="C31:D31"/>
    <mergeCell ref="C32:D32"/>
    <mergeCell ref="C33:D33"/>
    <mergeCell ref="C35:D35"/>
    <mergeCell ref="A36:A37"/>
    <mergeCell ref="B36:B37"/>
    <mergeCell ref="C36:D36"/>
    <mergeCell ref="C37:D37"/>
    <mergeCell ref="A38:A39"/>
    <mergeCell ref="B38:B39"/>
    <mergeCell ref="C38:D38"/>
    <mergeCell ref="C39:D39"/>
    <mergeCell ref="C40:D40"/>
    <mergeCell ref="A41:A43"/>
    <mergeCell ref="B41:B43"/>
    <mergeCell ref="C41:D41"/>
    <mergeCell ref="A3:D3"/>
    <mergeCell ref="A4:D4"/>
    <mergeCell ref="A6:D6"/>
    <mergeCell ref="B8:D8"/>
    <mergeCell ref="C25:D25"/>
    <mergeCell ref="C26:D26"/>
    <mergeCell ref="B13:D13"/>
    <mergeCell ref="B14:D14"/>
    <mergeCell ref="B15:D15"/>
    <mergeCell ref="B16:D16"/>
    <mergeCell ref="B17:D17"/>
    <mergeCell ref="A19:D19"/>
    <mergeCell ref="A27:A28"/>
    <mergeCell ref="B27:B28"/>
    <mergeCell ref="C27:D27"/>
    <mergeCell ref="C28:D28"/>
    <mergeCell ref="C34:D34"/>
    <mergeCell ref="F6:H6"/>
    <mergeCell ref="F19:H19"/>
    <mergeCell ref="F24:H24"/>
    <mergeCell ref="B9:D9"/>
    <mergeCell ref="B10:D10"/>
    <mergeCell ref="B11:D11"/>
    <mergeCell ref="B12:D12"/>
    <mergeCell ref="B21:D21"/>
    <mergeCell ref="B22:D22"/>
    <mergeCell ref="A24:D24"/>
  </mergeCells>
  <phoneticPr fontId="20" type="noConversion"/>
  <conditionalFormatting sqref="C56 C65">
    <cfRule type="expression" dxfId="51" priority="115">
      <formula>#REF!="NO"</formula>
    </cfRule>
  </conditionalFormatting>
  <conditionalFormatting sqref="C41:D43">
    <cfRule type="expression" dxfId="50" priority="103">
      <formula>$F$2="NO"</formula>
    </cfRule>
  </conditionalFormatting>
  <conditionalFormatting sqref="C26:E40">
    <cfRule type="expression" dxfId="49" priority="105">
      <formula>#REF!="NO"</formula>
    </cfRule>
  </conditionalFormatting>
  <conditionalFormatting sqref="C44:E80">
    <cfRule type="expression" dxfId="48" priority="102">
      <formula>#REF!="NO"</formula>
    </cfRule>
  </conditionalFormatting>
  <conditionalFormatting sqref="C106:G135">
    <cfRule type="expression" dxfId="47" priority="62">
      <formula>#REF!="NO"</formula>
    </cfRule>
  </conditionalFormatting>
  <conditionalFormatting sqref="E41:E43">
    <cfRule type="expression" dxfId="46" priority="104">
      <formula>#REF!="NO"</formula>
    </cfRule>
  </conditionalFormatting>
  <conditionalFormatting sqref="E84:H102">
    <cfRule type="expression" dxfId="45" priority="15">
      <formula>#REF!="NO"</formula>
    </cfRule>
  </conditionalFormatting>
  <conditionalFormatting sqref="F8:F9">
    <cfRule type="expression" dxfId="44" priority="60">
      <formula>#REF!="NO"</formula>
    </cfRule>
  </conditionalFormatting>
  <conditionalFormatting sqref="F26:F80">
    <cfRule type="expression" dxfId="43" priority="67">
      <formula>#REF!="NO"</formula>
    </cfRule>
  </conditionalFormatting>
  <conditionalFormatting sqref="F10:G17">
    <cfRule type="expression" dxfId="42" priority="99">
      <formula>#REF!="NO"</formula>
    </cfRule>
  </conditionalFormatting>
  <conditionalFormatting sqref="F21:H22">
    <cfRule type="expression" dxfId="41" priority="10">
      <formula>#REF!="NO"</formula>
    </cfRule>
  </conditionalFormatting>
  <conditionalFormatting sqref="G8:G9">
    <cfRule type="expression" dxfId="40" priority="1">
      <formula>$F$2="NO"</formula>
    </cfRule>
  </conditionalFormatting>
  <conditionalFormatting sqref="G13:G17">
    <cfRule type="expression" dxfId="39" priority="96">
      <formula>#REF!="NO"</formula>
    </cfRule>
  </conditionalFormatting>
  <conditionalFormatting sqref="G26:G68">
    <cfRule type="expression" dxfId="38" priority="66">
      <formula>#REF!="NO"</formula>
    </cfRule>
  </conditionalFormatting>
  <conditionalFormatting sqref="G70:G80">
    <cfRule type="expression" dxfId="37" priority="73">
      <formula>#REF!="NO"</formula>
    </cfRule>
  </conditionalFormatting>
  <conditionalFormatting sqref="G69:H69">
    <cfRule type="expression" dxfId="36" priority="88">
      <formula>#REF!="NO"</formula>
    </cfRule>
  </conditionalFormatting>
  <conditionalFormatting sqref="H8">
    <cfRule type="expression" dxfId="35" priority="24">
      <formula>$F$2="NO"</formula>
    </cfRule>
  </conditionalFormatting>
  <conditionalFormatting sqref="H9">
    <cfRule type="expression" dxfId="34" priority="16">
      <formula>#REF!="NO"</formula>
    </cfRule>
  </conditionalFormatting>
  <conditionalFormatting sqref="H10:H17">
    <cfRule type="expression" dxfId="33" priority="18">
      <formula>$F$2="NO"</formula>
    </cfRule>
  </conditionalFormatting>
  <conditionalFormatting sqref="H21">
    <cfRule type="expression" dxfId="32" priority="13">
      <formula>$F$2="NO"</formula>
    </cfRule>
  </conditionalFormatting>
  <conditionalFormatting sqref="H22">
    <cfRule type="expression" dxfId="31" priority="11">
      <formula>#REF!="NO"</formula>
    </cfRule>
  </conditionalFormatting>
  <conditionalFormatting sqref="H26">
    <cfRule type="expression" dxfId="30" priority="42">
      <formula>#REF!="NO"</formula>
    </cfRule>
  </conditionalFormatting>
  <conditionalFormatting sqref="H27:H68">
    <cfRule type="expression" dxfId="29" priority="43">
      <formula>$F$2="NO"</formula>
    </cfRule>
  </conditionalFormatting>
  <conditionalFormatting sqref="H56:H57">
    <cfRule type="expression" dxfId="28" priority="51">
      <formula>#REF!="NO"</formula>
    </cfRule>
  </conditionalFormatting>
  <conditionalFormatting sqref="H65">
    <cfRule type="expression" dxfId="27" priority="57">
      <formula>#REF!="NO"</formula>
    </cfRule>
  </conditionalFormatting>
  <conditionalFormatting sqref="H70:H80">
    <cfRule type="expression" dxfId="26" priority="46">
      <formula>$F$2="NO"</formula>
    </cfRule>
  </conditionalFormatting>
  <conditionalFormatting sqref="H106:H122">
    <cfRule type="expression" dxfId="25" priority="4">
      <formula>$F$2="NO"</formula>
    </cfRule>
  </conditionalFormatting>
  <conditionalFormatting sqref="H123">
    <cfRule type="expression" dxfId="24" priority="6">
      <formula>#REF!="NO"</formula>
    </cfRule>
  </conditionalFormatting>
  <conditionalFormatting sqref="H124:H127">
    <cfRule type="expression" dxfId="23" priority="9">
      <formula>$F$2="NO"</formula>
    </cfRule>
  </conditionalFormatting>
  <conditionalFormatting sqref="H128">
    <cfRule type="expression" dxfId="22" priority="5">
      <formula>#REF!="NO"</formula>
    </cfRule>
  </conditionalFormatting>
  <conditionalFormatting sqref="H129:H135">
    <cfRule type="expression" dxfId="21" priority="8">
      <formula>$F$2="NO"</formula>
    </cfRule>
  </conditionalFormatting>
  <dataValidations count="3">
    <dataValidation type="decimal" operator="greaterThanOrEqual" allowBlank="1" showInputMessage="1" showErrorMessage="1" error="The Pickup Allowance cannot be a negative number." sqref="F16:H16" xr:uid="{00000000-0002-0000-0400-000002000000}">
      <formula1>0</formula1>
    </dataValidation>
    <dataValidation type="decimal" allowBlank="1" showInputMessage="1" showErrorMessage="1" error="Invalid Entry - Bidder must enter a value that is greater than $0" sqref="F21:H21" xr:uid="{00000000-0002-0000-0400-000001000000}">
      <formula1>0</formula1>
      <formula2>9E+21</formula2>
    </dataValidation>
    <dataValidation type="decimal" allowBlank="1" showInputMessage="1" showErrorMessage="1" error="The Additional Options NYS Discount entered must be greater than 0%, or less than or equal to 100%." sqref="F22:H22" xr:uid="{00000000-0002-0000-0400-000000000000}">
      <formula1>0.01</formula1>
      <formula2>100</formula2>
    </dataValidation>
  </dataValidations>
  <pageMargins left="0.25" right="0.25" top="0.5" bottom="0.25" header="0.3" footer="0.3"/>
  <pageSetup scale="72"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E6D5DF-13F9-48DA-9288-39023594F57F}">
  <sheetPr>
    <tabColor theme="5"/>
  </sheetPr>
  <dimension ref="A1:F127"/>
  <sheetViews>
    <sheetView showGridLines="0" zoomScaleNormal="100" zoomScaleSheetLayoutView="100" workbookViewId="0">
      <selection activeCell="A3" sqref="A3:D3"/>
    </sheetView>
  </sheetViews>
  <sheetFormatPr defaultRowHeight="15" x14ac:dyDescent="0.25"/>
  <cols>
    <col min="1" max="1" width="19.140625" customWidth="1"/>
    <col min="2" max="2" width="62.85546875" customWidth="1"/>
    <col min="3" max="3" width="14.7109375" customWidth="1"/>
    <col min="4" max="4" width="20.7109375" customWidth="1"/>
    <col min="5" max="5" width="2.7109375" customWidth="1"/>
    <col min="6" max="6" width="25" style="116" customWidth="1"/>
  </cols>
  <sheetData>
    <row r="1" spans="1:6" s="2" customFormat="1" ht="12.75" x14ac:dyDescent="0.2">
      <c r="A1" s="235" t="str">
        <f>'A (Item 2-G)'!$A$1</f>
        <v>GROUP 40524-23254, SCHOOL BUSES (Statewide)                                                             Attachment 1 - Specifications and Pricing (Revised October 15, 2026)</v>
      </c>
      <c r="F1" s="107"/>
    </row>
    <row r="2" spans="1:6" ht="15.75" thickBot="1" x14ac:dyDescent="0.3">
      <c r="A2" s="144" t="s">
        <v>373</v>
      </c>
      <c r="B2" s="26"/>
      <c r="C2" s="26"/>
      <c r="D2" s="26"/>
      <c r="E2" s="26"/>
      <c r="F2" s="143"/>
    </row>
    <row r="3" spans="1:6" ht="24" thickBot="1" x14ac:dyDescent="0.3">
      <c r="A3" s="352" t="s">
        <v>314</v>
      </c>
      <c r="B3" s="353"/>
      <c r="C3" s="353"/>
      <c r="D3" s="354"/>
    </row>
    <row r="4" spans="1:6" ht="39.950000000000003" customHeight="1" thickBot="1" x14ac:dyDescent="0.3">
      <c r="A4" s="273" t="s">
        <v>313</v>
      </c>
      <c r="B4" s="274"/>
      <c r="C4" s="274"/>
      <c r="D4" s="275"/>
    </row>
    <row r="5" spans="1:6" ht="15.75" thickBot="1" x14ac:dyDescent="0.3">
      <c r="A5" s="57"/>
      <c r="B5" s="57"/>
      <c r="C5" s="57"/>
      <c r="D5" s="57"/>
      <c r="E5" s="57"/>
      <c r="F5" s="123"/>
    </row>
    <row r="6" spans="1:6" ht="16.5" thickBot="1" x14ac:dyDescent="0.3">
      <c r="A6" s="276" t="s">
        <v>151</v>
      </c>
      <c r="B6" s="277"/>
      <c r="C6" s="277"/>
      <c r="D6" s="278"/>
      <c r="E6" s="36"/>
      <c r="F6" s="113" t="s">
        <v>262</v>
      </c>
    </row>
    <row r="7" spans="1:6" ht="15.75" thickBot="1" x14ac:dyDescent="0.3">
      <c r="A7" s="41" t="s">
        <v>6</v>
      </c>
      <c r="B7" s="27" t="s">
        <v>165</v>
      </c>
      <c r="C7" s="32"/>
      <c r="D7" s="40"/>
      <c r="E7" s="37"/>
      <c r="F7" s="120" t="s">
        <v>212</v>
      </c>
    </row>
    <row r="8" spans="1:6" ht="54" customHeight="1" thickTop="1" thickBot="1" x14ac:dyDescent="0.3">
      <c r="A8" s="42" t="s">
        <v>9</v>
      </c>
      <c r="B8" s="267" t="s">
        <v>152</v>
      </c>
      <c r="C8" s="268"/>
      <c r="D8" s="269"/>
      <c r="E8" s="13"/>
      <c r="F8" s="133" t="s">
        <v>355</v>
      </c>
    </row>
    <row r="9" spans="1:6" ht="38.450000000000003" customHeight="1" thickTop="1" thickBot="1" x14ac:dyDescent="0.3">
      <c r="A9" s="42" t="s">
        <v>234</v>
      </c>
      <c r="B9" s="267" t="s">
        <v>235</v>
      </c>
      <c r="C9" s="268"/>
      <c r="D9" s="269"/>
      <c r="E9" s="13"/>
      <c r="F9" s="126" t="s">
        <v>356</v>
      </c>
    </row>
    <row r="10" spans="1:6" ht="15.75" thickTop="1" x14ac:dyDescent="0.25">
      <c r="A10" s="43" t="s">
        <v>0</v>
      </c>
      <c r="B10" s="258" t="s">
        <v>154</v>
      </c>
      <c r="C10" s="259"/>
      <c r="D10" s="260"/>
      <c r="E10" s="13"/>
      <c r="F10" s="127" t="s">
        <v>285</v>
      </c>
    </row>
    <row r="11" spans="1:6" x14ac:dyDescent="0.25">
      <c r="A11" s="43" t="s">
        <v>1</v>
      </c>
      <c r="B11" s="258" t="s">
        <v>233</v>
      </c>
      <c r="C11" s="259"/>
      <c r="D11" s="260"/>
      <c r="E11" s="13"/>
      <c r="F11" s="127" t="s">
        <v>300</v>
      </c>
    </row>
    <row r="12" spans="1:6" ht="26.25" thickBot="1" x14ac:dyDescent="0.3">
      <c r="A12" s="44" t="s">
        <v>2</v>
      </c>
      <c r="B12" s="261" t="s">
        <v>155</v>
      </c>
      <c r="C12" s="262"/>
      <c r="D12" s="263"/>
      <c r="E12" s="13"/>
      <c r="F12" s="128" t="s">
        <v>299</v>
      </c>
    </row>
    <row r="13" spans="1:6" ht="15.75" thickTop="1" x14ac:dyDescent="0.25">
      <c r="A13" s="43" t="s">
        <v>3</v>
      </c>
      <c r="B13" s="258" t="s">
        <v>157</v>
      </c>
      <c r="C13" s="259"/>
      <c r="D13" s="260"/>
      <c r="E13" s="13"/>
      <c r="F13" s="127" t="s">
        <v>285</v>
      </c>
    </row>
    <row r="14" spans="1:6" x14ac:dyDescent="0.25">
      <c r="A14" s="43" t="s">
        <v>4</v>
      </c>
      <c r="B14" s="258" t="s">
        <v>232</v>
      </c>
      <c r="C14" s="259"/>
      <c r="D14" s="260"/>
      <c r="E14" s="13"/>
      <c r="F14" s="127" t="s">
        <v>299</v>
      </c>
    </row>
    <row r="15" spans="1:6" ht="15.75" thickBot="1" x14ac:dyDescent="0.3">
      <c r="A15" s="45" t="s">
        <v>5</v>
      </c>
      <c r="B15" s="261" t="s">
        <v>158</v>
      </c>
      <c r="C15" s="262"/>
      <c r="D15" s="263"/>
      <c r="E15" s="13"/>
      <c r="F15" s="129" t="s">
        <v>298</v>
      </c>
    </row>
    <row r="16" spans="1:6" ht="27.95" customHeight="1" thickTop="1" x14ac:dyDescent="0.25">
      <c r="A16" s="43" t="s">
        <v>101</v>
      </c>
      <c r="B16" s="264" t="s">
        <v>231</v>
      </c>
      <c r="C16" s="265"/>
      <c r="D16" s="266"/>
      <c r="E16" s="13"/>
      <c r="F16" s="130">
        <v>0</v>
      </c>
    </row>
    <row r="17" spans="1:6" ht="27.6" customHeight="1" thickBot="1" x14ac:dyDescent="0.3">
      <c r="A17" s="45" t="s">
        <v>43</v>
      </c>
      <c r="B17" s="261" t="s">
        <v>230</v>
      </c>
      <c r="C17" s="262"/>
      <c r="D17" s="263"/>
      <c r="E17" s="13"/>
      <c r="F17" s="129" t="s">
        <v>317</v>
      </c>
    </row>
    <row r="18" spans="1:6" ht="16.5" thickTop="1" thickBot="1" x14ac:dyDescent="0.3"/>
    <row r="19" spans="1:6" ht="16.5" thickBot="1" x14ac:dyDescent="0.3">
      <c r="A19" s="276" t="s">
        <v>150</v>
      </c>
      <c r="B19" s="277"/>
      <c r="C19" s="277"/>
      <c r="D19" s="278"/>
      <c r="E19" s="36"/>
      <c r="F19" s="113" t="s">
        <v>262</v>
      </c>
    </row>
    <row r="20" spans="1:6" ht="15.75" thickBot="1" x14ac:dyDescent="0.3">
      <c r="A20" s="55" t="s">
        <v>6</v>
      </c>
      <c r="B20" s="31" t="s">
        <v>165</v>
      </c>
      <c r="C20" s="33"/>
      <c r="D20" s="48"/>
      <c r="E20" s="37"/>
      <c r="F20" s="97" t="s">
        <v>212</v>
      </c>
    </row>
    <row r="21" spans="1:6" ht="26.1" customHeight="1" x14ac:dyDescent="0.25">
      <c r="A21" s="46" t="s">
        <v>42</v>
      </c>
      <c r="B21" s="279" t="s">
        <v>161</v>
      </c>
      <c r="C21" s="280"/>
      <c r="D21" s="281"/>
      <c r="F21" s="234">
        <f>376178*('PPI Adj'!D6)</f>
        <v>438999.72600000002</v>
      </c>
    </row>
    <row r="22" spans="1:6" ht="26.25" thickBot="1" x14ac:dyDescent="0.3">
      <c r="A22" s="47" t="s">
        <v>41</v>
      </c>
      <c r="B22" s="300" t="s">
        <v>163</v>
      </c>
      <c r="C22" s="301"/>
      <c r="D22" s="302"/>
      <c r="F22" s="214">
        <v>16</v>
      </c>
    </row>
    <row r="23" spans="1:6" ht="15.75" thickBot="1" x14ac:dyDescent="0.3"/>
    <row r="24" spans="1:6" ht="15.95" customHeight="1" thickBot="1" x14ac:dyDescent="0.3">
      <c r="A24" s="303" t="s">
        <v>164</v>
      </c>
      <c r="B24" s="304"/>
      <c r="C24" s="304"/>
      <c r="D24" s="305"/>
      <c r="E24" s="38"/>
      <c r="F24" s="113" t="s">
        <v>262</v>
      </c>
    </row>
    <row r="25" spans="1:6" ht="15" customHeight="1" thickBot="1" x14ac:dyDescent="0.3">
      <c r="A25" s="55" t="s">
        <v>6</v>
      </c>
      <c r="B25" s="56" t="s">
        <v>7</v>
      </c>
      <c r="C25" s="306" t="s">
        <v>165</v>
      </c>
      <c r="D25" s="307"/>
      <c r="E25" s="39"/>
      <c r="F25" s="97" t="s">
        <v>212</v>
      </c>
    </row>
    <row r="26" spans="1:6" ht="79.5" customHeight="1" thickBot="1" x14ac:dyDescent="0.3">
      <c r="A26" s="49" t="s">
        <v>8</v>
      </c>
      <c r="B26" s="29" t="s">
        <v>282</v>
      </c>
      <c r="C26" s="282" t="s">
        <v>118</v>
      </c>
      <c r="D26" s="283"/>
      <c r="E26" s="34"/>
      <c r="F26" s="133">
        <v>33000</v>
      </c>
    </row>
    <row r="27" spans="1:6" x14ac:dyDescent="0.25">
      <c r="A27" s="284" t="s">
        <v>21</v>
      </c>
      <c r="B27" s="286" t="s">
        <v>290</v>
      </c>
      <c r="C27" s="288" t="s">
        <v>67</v>
      </c>
      <c r="D27" s="289"/>
      <c r="E27" s="34"/>
      <c r="F27" s="134">
        <v>11</v>
      </c>
    </row>
    <row r="28" spans="1:6" ht="15" customHeight="1" thickBot="1" x14ac:dyDescent="0.3">
      <c r="A28" s="285"/>
      <c r="B28" s="287"/>
      <c r="C28" s="282" t="s">
        <v>68</v>
      </c>
      <c r="D28" s="283"/>
      <c r="E28" s="34"/>
      <c r="F28" s="135">
        <v>66</v>
      </c>
    </row>
    <row r="29" spans="1:6" ht="15.75" thickBot="1" x14ac:dyDescent="0.3">
      <c r="A29" s="50" t="s">
        <v>123</v>
      </c>
      <c r="B29" s="30" t="s">
        <v>108</v>
      </c>
      <c r="C29" s="298"/>
      <c r="D29" s="299"/>
      <c r="E29" s="35"/>
      <c r="F29" s="133"/>
    </row>
    <row r="30" spans="1:6" ht="14.45" customHeight="1" x14ac:dyDescent="0.25">
      <c r="A30" s="284" t="s">
        <v>59</v>
      </c>
      <c r="B30" s="286"/>
      <c r="C30" s="288" t="s">
        <v>58</v>
      </c>
      <c r="D30" s="289"/>
      <c r="E30" s="34"/>
      <c r="F30" s="134">
        <v>254</v>
      </c>
    </row>
    <row r="31" spans="1:6" ht="14.45" customHeight="1" x14ac:dyDescent="0.25">
      <c r="A31" s="292"/>
      <c r="B31" s="293"/>
      <c r="C31" s="294" t="s">
        <v>57</v>
      </c>
      <c r="D31" s="295"/>
      <c r="E31" s="34"/>
      <c r="F31" s="127">
        <v>435.14</v>
      </c>
    </row>
    <row r="32" spans="1:6" ht="14.45" customHeight="1" x14ac:dyDescent="0.25">
      <c r="A32" s="292"/>
      <c r="B32" s="293"/>
      <c r="C32" s="294" t="s">
        <v>69</v>
      </c>
      <c r="D32" s="295"/>
      <c r="E32" s="34"/>
      <c r="F32" s="127">
        <v>90</v>
      </c>
    </row>
    <row r="33" spans="1:6" ht="14.45" customHeight="1" x14ac:dyDescent="0.25">
      <c r="A33" s="292"/>
      <c r="B33" s="293"/>
      <c r="C33" s="296" t="s">
        <v>70</v>
      </c>
      <c r="D33" s="297"/>
      <c r="E33" s="34"/>
      <c r="F33" s="127">
        <v>78</v>
      </c>
    </row>
    <row r="34" spans="1:6" ht="15" customHeight="1" thickBot="1" x14ac:dyDescent="0.3">
      <c r="A34" s="285"/>
      <c r="B34" s="287"/>
      <c r="C34" s="282" t="s">
        <v>111</v>
      </c>
      <c r="D34" s="283"/>
      <c r="E34" s="34"/>
      <c r="F34" s="135">
        <v>228.92</v>
      </c>
    </row>
    <row r="35" spans="1:6" ht="15.75" thickBot="1" x14ac:dyDescent="0.3">
      <c r="A35" s="49" t="s">
        <v>229</v>
      </c>
      <c r="B35" s="30" t="s">
        <v>228</v>
      </c>
      <c r="C35" s="298"/>
      <c r="D35" s="299"/>
      <c r="E35" s="35"/>
      <c r="F35" s="133"/>
    </row>
    <row r="36" spans="1:6" ht="14.45" customHeight="1" x14ac:dyDescent="0.25">
      <c r="A36" s="284" t="s">
        <v>11</v>
      </c>
      <c r="B36" s="286"/>
      <c r="C36" s="288" t="s">
        <v>24</v>
      </c>
      <c r="D36" s="289"/>
      <c r="E36" s="34"/>
      <c r="F36" s="134">
        <v>10000</v>
      </c>
    </row>
    <row r="37" spans="1:6" ht="15" customHeight="1" thickBot="1" x14ac:dyDescent="0.3">
      <c r="A37" s="285"/>
      <c r="B37" s="287"/>
      <c r="C37" s="282" t="s">
        <v>22</v>
      </c>
      <c r="D37" s="283"/>
      <c r="E37" s="34"/>
      <c r="F37" s="135">
        <v>10000</v>
      </c>
    </row>
    <row r="38" spans="1:6" ht="14.45" customHeight="1" x14ac:dyDescent="0.25">
      <c r="A38" s="284" t="s">
        <v>16</v>
      </c>
      <c r="B38" s="286"/>
      <c r="C38" s="288" t="s">
        <v>24</v>
      </c>
      <c r="D38" s="289"/>
      <c r="E38" s="34"/>
      <c r="F38" s="134">
        <v>23000</v>
      </c>
    </row>
    <row r="39" spans="1:6" ht="15" customHeight="1" thickBot="1" x14ac:dyDescent="0.3">
      <c r="A39" s="285"/>
      <c r="B39" s="287"/>
      <c r="C39" s="290" t="s">
        <v>23</v>
      </c>
      <c r="D39" s="291"/>
      <c r="E39" s="34"/>
      <c r="F39" s="135">
        <v>23000</v>
      </c>
    </row>
    <row r="40" spans="1:6" ht="15.75" thickBot="1" x14ac:dyDescent="0.3">
      <c r="A40" s="50" t="s">
        <v>52</v>
      </c>
      <c r="B40" s="30" t="s">
        <v>53</v>
      </c>
      <c r="C40" s="298"/>
      <c r="D40" s="299"/>
      <c r="E40" s="35"/>
      <c r="F40" s="133"/>
    </row>
    <row r="41" spans="1:6" ht="14.45" customHeight="1" x14ac:dyDescent="0.25">
      <c r="A41" s="284" t="s">
        <v>224</v>
      </c>
      <c r="B41" s="286" t="s">
        <v>227</v>
      </c>
      <c r="C41" s="288" t="s">
        <v>226</v>
      </c>
      <c r="D41" s="289"/>
      <c r="E41" s="34"/>
      <c r="F41" s="134" t="s">
        <v>297</v>
      </c>
    </row>
    <row r="42" spans="1:6" ht="14.45" customHeight="1" x14ac:dyDescent="0.25">
      <c r="A42" s="292"/>
      <c r="B42" s="293"/>
      <c r="C42" s="294" t="s">
        <v>225</v>
      </c>
      <c r="D42" s="295"/>
      <c r="E42" s="34"/>
      <c r="F42" s="127" t="s">
        <v>296</v>
      </c>
    </row>
    <row r="43" spans="1:6" ht="78" customHeight="1" thickBot="1" x14ac:dyDescent="0.3">
      <c r="A43" s="285"/>
      <c r="B43" s="293"/>
      <c r="C43" s="290"/>
      <c r="D43" s="291"/>
      <c r="E43" s="34"/>
      <c r="F43" s="136"/>
    </row>
    <row r="44" spans="1:6" ht="30.95" customHeight="1" thickBot="1" x14ac:dyDescent="0.3">
      <c r="A44" s="49" t="s">
        <v>224</v>
      </c>
      <c r="B44" s="30" t="s">
        <v>223</v>
      </c>
      <c r="C44" s="298"/>
      <c r="D44" s="299"/>
      <c r="E44" s="35"/>
      <c r="F44" s="133"/>
    </row>
    <row r="45" spans="1:6" ht="15" customHeight="1" thickBot="1" x14ac:dyDescent="0.3">
      <c r="A45" s="284" t="s">
        <v>12</v>
      </c>
      <c r="B45" s="309" t="s">
        <v>142</v>
      </c>
      <c r="C45" s="288" t="s">
        <v>174</v>
      </c>
      <c r="D45" s="289"/>
      <c r="E45" s="34"/>
      <c r="F45" s="134" t="s">
        <v>357</v>
      </c>
    </row>
    <row r="46" spans="1:6" ht="15" customHeight="1" thickBot="1" x14ac:dyDescent="0.3">
      <c r="A46" s="292"/>
      <c r="B46" s="309"/>
      <c r="C46" s="294" t="s">
        <v>175</v>
      </c>
      <c r="D46" s="295"/>
      <c r="E46" s="34"/>
      <c r="F46" s="127" t="s">
        <v>358</v>
      </c>
    </row>
    <row r="47" spans="1:6" ht="15" customHeight="1" thickBot="1" x14ac:dyDescent="0.3">
      <c r="A47" s="292"/>
      <c r="B47" s="309"/>
      <c r="C47" s="294" t="s">
        <v>176</v>
      </c>
      <c r="D47" s="295"/>
      <c r="E47" s="34"/>
      <c r="F47" s="126" t="s">
        <v>357</v>
      </c>
    </row>
    <row r="48" spans="1:6" ht="15" customHeight="1" thickBot="1" x14ac:dyDescent="0.3">
      <c r="A48" s="292"/>
      <c r="B48" s="309"/>
      <c r="C48" s="294" t="s">
        <v>177</v>
      </c>
      <c r="D48" s="295"/>
      <c r="E48" s="34"/>
      <c r="F48" s="127" t="s">
        <v>359</v>
      </c>
    </row>
    <row r="49" spans="1:6" ht="15" customHeight="1" thickBot="1" x14ac:dyDescent="0.3">
      <c r="A49" s="292"/>
      <c r="B49" s="309"/>
      <c r="C49" s="294" t="s">
        <v>112</v>
      </c>
      <c r="D49" s="295"/>
      <c r="E49" s="34"/>
      <c r="F49" s="127">
        <v>7382135443</v>
      </c>
    </row>
    <row r="50" spans="1:6" ht="15" customHeight="1" thickBot="1" x14ac:dyDescent="0.3">
      <c r="A50" s="292"/>
      <c r="B50" s="309"/>
      <c r="C50" s="294" t="s">
        <v>113</v>
      </c>
      <c r="D50" s="295"/>
      <c r="E50" s="34"/>
      <c r="F50" s="127" t="s">
        <v>360</v>
      </c>
    </row>
    <row r="51" spans="1:6" ht="15" customHeight="1" thickBot="1" x14ac:dyDescent="0.3">
      <c r="A51" s="292"/>
      <c r="B51" s="309"/>
      <c r="C51" s="296" t="s">
        <v>114</v>
      </c>
      <c r="D51" s="297"/>
      <c r="E51" s="34"/>
      <c r="F51" s="127">
        <v>7382135443</v>
      </c>
    </row>
    <row r="52" spans="1:6" ht="15" customHeight="1" thickBot="1" x14ac:dyDescent="0.3">
      <c r="A52" s="285"/>
      <c r="B52" s="309"/>
      <c r="C52" s="282" t="s">
        <v>115</v>
      </c>
      <c r="D52" s="283"/>
      <c r="E52" s="34"/>
      <c r="F52" s="135" t="s">
        <v>360</v>
      </c>
    </row>
    <row r="53" spans="1:6" ht="14.45" customHeight="1" x14ac:dyDescent="0.25">
      <c r="A53" s="284" t="s">
        <v>10</v>
      </c>
      <c r="B53" s="286" t="s">
        <v>222</v>
      </c>
      <c r="C53" s="288" t="s">
        <v>116</v>
      </c>
      <c r="D53" s="289"/>
      <c r="E53" s="34"/>
      <c r="F53" s="134">
        <v>1</v>
      </c>
    </row>
    <row r="54" spans="1:6" ht="14.45" customHeight="1" x14ac:dyDescent="0.25">
      <c r="A54" s="292"/>
      <c r="B54" s="293"/>
      <c r="C54" s="294" t="s">
        <v>117</v>
      </c>
      <c r="D54" s="295"/>
      <c r="E54" s="34"/>
      <c r="F54" s="127" t="s">
        <v>202</v>
      </c>
    </row>
    <row r="55" spans="1:6" ht="15" customHeight="1" thickBot="1" x14ac:dyDescent="0.3">
      <c r="A55" s="285"/>
      <c r="B55" s="293"/>
      <c r="C55" s="290" t="s">
        <v>71</v>
      </c>
      <c r="D55" s="291"/>
      <c r="E55" s="34"/>
      <c r="F55" s="136" t="s">
        <v>294</v>
      </c>
    </row>
    <row r="56" spans="1:6" ht="78" customHeight="1" thickBot="1" x14ac:dyDescent="0.3">
      <c r="A56" s="51" t="s">
        <v>190</v>
      </c>
      <c r="B56" s="28" t="s">
        <v>191</v>
      </c>
      <c r="C56" s="296" t="s">
        <v>192</v>
      </c>
      <c r="D56" s="297"/>
      <c r="E56" s="34"/>
      <c r="F56" s="134">
        <v>135</v>
      </c>
    </row>
    <row r="57" spans="1:6" ht="52.5" customHeight="1" x14ac:dyDescent="0.25">
      <c r="A57" s="284" t="s">
        <v>26</v>
      </c>
      <c r="B57" s="286" t="s">
        <v>273</v>
      </c>
      <c r="C57" s="288" t="s">
        <v>193</v>
      </c>
      <c r="D57" s="289"/>
      <c r="E57" s="34"/>
      <c r="F57" s="134">
        <v>2</v>
      </c>
    </row>
    <row r="58" spans="1:6" ht="14.45" customHeight="1" x14ac:dyDescent="0.25">
      <c r="A58" s="292"/>
      <c r="B58" s="293"/>
      <c r="C58" s="294" t="s">
        <v>194</v>
      </c>
      <c r="D58" s="295"/>
      <c r="E58" s="34"/>
      <c r="F58" s="127" t="s">
        <v>346</v>
      </c>
    </row>
    <row r="59" spans="1:6" ht="15" customHeight="1" thickBot="1" x14ac:dyDescent="0.3">
      <c r="A59" s="285"/>
      <c r="B59" s="287"/>
      <c r="C59" s="282" t="s">
        <v>195</v>
      </c>
      <c r="D59" s="283"/>
      <c r="E59" s="34"/>
      <c r="F59" s="135" t="s">
        <v>347</v>
      </c>
    </row>
    <row r="60" spans="1:6" ht="15.75" thickBot="1" x14ac:dyDescent="0.3">
      <c r="A60" s="50" t="s">
        <v>44</v>
      </c>
      <c r="B60" s="30" t="s">
        <v>45</v>
      </c>
      <c r="C60" s="298"/>
      <c r="D60" s="299"/>
      <c r="E60" s="35"/>
      <c r="F60" s="137"/>
    </row>
    <row r="61" spans="1:6" ht="28.5" customHeight="1" thickBot="1" x14ac:dyDescent="0.3">
      <c r="A61" s="50" t="s">
        <v>44</v>
      </c>
      <c r="B61" s="30" t="s">
        <v>63</v>
      </c>
      <c r="C61" s="298"/>
      <c r="D61" s="299"/>
      <c r="E61" s="35"/>
      <c r="F61" s="137"/>
    </row>
    <row r="62" spans="1:6" ht="27" customHeight="1" thickBot="1" x14ac:dyDescent="0.3">
      <c r="A62" s="50" t="s">
        <v>44</v>
      </c>
      <c r="B62" s="30" t="s">
        <v>64</v>
      </c>
      <c r="C62" s="298"/>
      <c r="D62" s="299"/>
      <c r="E62" s="35"/>
      <c r="F62" s="137"/>
    </row>
    <row r="63" spans="1:6" ht="30.95" customHeight="1" thickBot="1" x14ac:dyDescent="0.3">
      <c r="A63" s="50" t="s">
        <v>50</v>
      </c>
      <c r="B63" s="30" t="s">
        <v>221</v>
      </c>
      <c r="C63" s="298"/>
      <c r="D63" s="299"/>
      <c r="E63" s="35"/>
      <c r="F63" s="137"/>
    </row>
    <row r="64" spans="1:6" ht="16.5" customHeight="1" thickBot="1" x14ac:dyDescent="0.3">
      <c r="A64" s="50" t="s">
        <v>27</v>
      </c>
      <c r="B64" s="30" t="s">
        <v>220</v>
      </c>
      <c r="C64" s="310" t="s">
        <v>77</v>
      </c>
      <c r="D64" s="311"/>
      <c r="E64" s="34"/>
      <c r="F64" s="133" t="s">
        <v>361</v>
      </c>
    </row>
    <row r="65" spans="1:6" ht="53.45" customHeight="1" thickBot="1" x14ac:dyDescent="0.3">
      <c r="A65" s="49" t="s">
        <v>219</v>
      </c>
      <c r="B65" s="30" t="s">
        <v>218</v>
      </c>
      <c r="C65" s="310"/>
      <c r="D65" s="311"/>
      <c r="E65" s="34"/>
      <c r="F65" s="133"/>
    </row>
    <row r="66" spans="1:6" ht="42.6" customHeight="1" thickBot="1" x14ac:dyDescent="0.3">
      <c r="A66" s="50" t="s">
        <v>51</v>
      </c>
      <c r="B66" s="30" t="s">
        <v>217</v>
      </c>
      <c r="C66" s="298"/>
      <c r="D66" s="299"/>
      <c r="E66" s="35"/>
      <c r="F66" s="133"/>
    </row>
    <row r="67" spans="1:6" ht="40.5" customHeight="1" thickBot="1" x14ac:dyDescent="0.3">
      <c r="A67" s="50" t="s">
        <v>54</v>
      </c>
      <c r="B67" s="30" t="s">
        <v>80</v>
      </c>
      <c r="C67" s="298"/>
      <c r="D67" s="299"/>
      <c r="E67" s="35"/>
      <c r="F67" s="133"/>
    </row>
    <row r="68" spans="1:6" ht="90" thickBot="1" x14ac:dyDescent="0.3">
      <c r="A68" s="50" t="s">
        <v>29</v>
      </c>
      <c r="B68" s="30" t="s">
        <v>216</v>
      </c>
      <c r="C68" s="298"/>
      <c r="D68" s="299"/>
      <c r="E68" s="35"/>
      <c r="F68" s="133"/>
    </row>
    <row r="69" spans="1:6" ht="54.6" customHeight="1" thickBot="1" x14ac:dyDescent="0.3">
      <c r="A69" s="50" t="s">
        <v>31</v>
      </c>
      <c r="B69" s="30" t="s">
        <v>215</v>
      </c>
      <c r="C69" s="310" t="s">
        <v>30</v>
      </c>
      <c r="D69" s="311"/>
      <c r="E69" s="34"/>
      <c r="F69" s="133" t="s">
        <v>362</v>
      </c>
    </row>
    <row r="70" spans="1:6" ht="30" customHeight="1" thickBot="1" x14ac:dyDescent="0.3">
      <c r="A70" s="50" t="s">
        <v>55</v>
      </c>
      <c r="B70" s="30" t="s">
        <v>95</v>
      </c>
      <c r="C70" s="298"/>
      <c r="D70" s="299"/>
      <c r="E70" s="35"/>
      <c r="F70" s="133"/>
    </row>
    <row r="71" spans="1:6" ht="28.5" customHeight="1" thickBot="1" x14ac:dyDescent="0.3">
      <c r="A71" s="50" t="s">
        <v>32</v>
      </c>
      <c r="B71" s="30" t="s">
        <v>96</v>
      </c>
      <c r="C71" s="310" t="s">
        <v>30</v>
      </c>
      <c r="D71" s="311"/>
      <c r="E71" s="34"/>
      <c r="F71" s="133" t="s">
        <v>323</v>
      </c>
    </row>
    <row r="72" spans="1:6" ht="42.6" customHeight="1" thickBot="1" x14ac:dyDescent="0.3">
      <c r="A72" s="50" t="s">
        <v>56</v>
      </c>
      <c r="B72" s="30" t="s">
        <v>167</v>
      </c>
      <c r="C72" s="298"/>
      <c r="D72" s="299"/>
      <c r="E72" s="35"/>
      <c r="F72" s="133"/>
    </row>
    <row r="73" spans="1:6" ht="28.5" customHeight="1" thickBot="1" x14ac:dyDescent="0.3">
      <c r="A73" s="50" t="s">
        <v>48</v>
      </c>
      <c r="B73" s="30" t="s">
        <v>47</v>
      </c>
      <c r="C73" s="298"/>
      <c r="D73" s="299"/>
      <c r="E73" s="35"/>
      <c r="F73" s="133"/>
    </row>
    <row r="74" spans="1:6" ht="31.5" customHeight="1" thickBot="1" x14ac:dyDescent="0.3">
      <c r="A74" s="50" t="s">
        <v>49</v>
      </c>
      <c r="B74" s="30" t="s">
        <v>103</v>
      </c>
      <c r="C74" s="298" t="s">
        <v>203</v>
      </c>
      <c r="D74" s="299"/>
      <c r="E74" s="35"/>
      <c r="F74" s="133" t="s">
        <v>349</v>
      </c>
    </row>
    <row r="75" spans="1:6" ht="26.25" thickBot="1" x14ac:dyDescent="0.3">
      <c r="A75" s="50" t="s">
        <v>46</v>
      </c>
      <c r="B75" s="30" t="s">
        <v>81</v>
      </c>
      <c r="C75" s="298"/>
      <c r="D75" s="299"/>
      <c r="E75" s="35"/>
      <c r="F75" s="133"/>
    </row>
    <row r="76" spans="1:6" ht="15.75" thickBot="1" x14ac:dyDescent="0.3"/>
    <row r="77" spans="1:6" ht="15.95" customHeight="1" thickBot="1" x14ac:dyDescent="0.3">
      <c r="A77" s="303" t="s">
        <v>168</v>
      </c>
      <c r="B77" s="304"/>
      <c r="C77" s="304"/>
      <c r="D77" s="305"/>
      <c r="E77" s="38"/>
      <c r="F77" s="113" t="s">
        <v>262</v>
      </c>
    </row>
    <row r="78" spans="1:6" ht="15" customHeight="1" thickBot="1" x14ac:dyDescent="0.3">
      <c r="A78" s="312" t="s">
        <v>169</v>
      </c>
      <c r="B78" s="313"/>
      <c r="C78" s="313"/>
      <c r="D78" s="314"/>
      <c r="E78" s="39"/>
      <c r="F78" s="97" t="s">
        <v>212</v>
      </c>
    </row>
    <row r="79" spans="1:6" ht="14.45" customHeight="1" x14ac:dyDescent="0.25">
      <c r="A79" s="315" t="s">
        <v>83</v>
      </c>
      <c r="B79" s="316"/>
      <c r="C79" s="316"/>
      <c r="D79" s="317"/>
      <c r="F79" s="138">
        <f>-500*('PPI Adj'!D6)</f>
        <v>-583.5</v>
      </c>
    </row>
    <row r="80" spans="1:6" ht="14.45" customHeight="1" x14ac:dyDescent="0.25">
      <c r="A80" s="318" t="s">
        <v>34</v>
      </c>
      <c r="B80" s="319"/>
      <c r="C80" s="319"/>
      <c r="D80" s="320"/>
      <c r="F80" s="139">
        <f>361*('PPI Adj'!D6)</f>
        <v>421.28700000000003</v>
      </c>
    </row>
    <row r="81" spans="1:6" x14ac:dyDescent="0.25">
      <c r="A81" s="318" t="s">
        <v>35</v>
      </c>
      <c r="B81" s="319"/>
      <c r="C81" s="319"/>
      <c r="D81" s="320"/>
      <c r="F81" s="139">
        <f>600*('PPI Adj'!D6)</f>
        <v>700.2</v>
      </c>
    </row>
    <row r="82" spans="1:6" x14ac:dyDescent="0.25">
      <c r="A82" s="318" t="s">
        <v>36</v>
      </c>
      <c r="B82" s="319"/>
      <c r="C82" s="319"/>
      <c r="D82" s="320"/>
      <c r="F82" s="139" t="s">
        <v>188</v>
      </c>
    </row>
    <row r="83" spans="1:6" ht="14.45" customHeight="1" x14ac:dyDescent="0.25">
      <c r="A83" s="318" t="s">
        <v>214</v>
      </c>
      <c r="B83" s="319"/>
      <c r="C83" s="319"/>
      <c r="D83" s="320"/>
      <c r="F83" s="139">
        <f>250*('PPI Adj'!D6)</f>
        <v>291.75</v>
      </c>
    </row>
    <row r="84" spans="1:6" x14ac:dyDescent="0.25">
      <c r="A84" s="318" t="s">
        <v>213</v>
      </c>
      <c r="B84" s="319"/>
      <c r="C84" s="319"/>
      <c r="D84" s="320"/>
      <c r="F84" s="139" t="s">
        <v>188</v>
      </c>
    </row>
    <row r="85" spans="1:6" ht="14.45" customHeight="1" x14ac:dyDescent="0.25">
      <c r="A85" s="318" t="s">
        <v>86</v>
      </c>
      <c r="B85" s="319"/>
      <c r="C85" s="319"/>
      <c r="D85" s="320"/>
      <c r="F85" s="139">
        <f>300*('PPI Adj'!D6)</f>
        <v>350.1</v>
      </c>
    </row>
    <row r="86" spans="1:6" ht="14.45" customHeight="1" x14ac:dyDescent="0.25">
      <c r="A86" s="318" t="s">
        <v>85</v>
      </c>
      <c r="B86" s="319"/>
      <c r="C86" s="319"/>
      <c r="D86" s="320"/>
      <c r="F86" s="139" t="s">
        <v>182</v>
      </c>
    </row>
    <row r="87" spans="1:6" x14ac:dyDescent="0.25">
      <c r="A87" s="318" t="s">
        <v>13</v>
      </c>
      <c r="B87" s="319"/>
      <c r="C87" s="319"/>
      <c r="D87" s="320"/>
      <c r="F87" s="139">
        <f>8605*('PPI Adj'!D6)</f>
        <v>10042.035</v>
      </c>
    </row>
    <row r="88" spans="1:6" ht="14.45" customHeight="1" x14ac:dyDescent="0.25">
      <c r="A88" s="318" t="s">
        <v>37</v>
      </c>
      <c r="B88" s="319"/>
      <c r="C88" s="319"/>
      <c r="D88" s="320"/>
      <c r="F88" s="139" t="s">
        <v>188</v>
      </c>
    </row>
    <row r="89" spans="1:6" x14ac:dyDescent="0.25">
      <c r="A89" s="318" t="s">
        <v>38</v>
      </c>
      <c r="B89" s="319"/>
      <c r="C89" s="319"/>
      <c r="D89" s="320"/>
      <c r="F89" s="139">
        <f>790*('PPI Adj'!D6)</f>
        <v>921.93000000000006</v>
      </c>
    </row>
    <row r="90" spans="1:6" x14ac:dyDescent="0.25">
      <c r="A90" s="318" t="s">
        <v>206</v>
      </c>
      <c r="B90" s="319"/>
      <c r="C90" s="319"/>
      <c r="D90" s="320"/>
      <c r="F90" s="139" t="s">
        <v>188</v>
      </c>
    </row>
    <row r="91" spans="1:6" x14ac:dyDescent="0.25">
      <c r="A91" s="318" t="s">
        <v>39</v>
      </c>
      <c r="B91" s="319"/>
      <c r="C91" s="319"/>
      <c r="D91" s="320"/>
      <c r="F91" s="139">
        <f>48*('PPI Adj'!D6)</f>
        <v>56.016000000000005</v>
      </c>
    </row>
    <row r="92" spans="1:6" x14ac:dyDescent="0.25">
      <c r="A92" s="318" t="s">
        <v>40</v>
      </c>
      <c r="B92" s="319"/>
      <c r="C92" s="319"/>
      <c r="D92" s="320"/>
      <c r="F92" s="139">
        <f>783*('PPI Adj'!D6)</f>
        <v>913.76100000000008</v>
      </c>
    </row>
    <row r="93" spans="1:6" x14ac:dyDescent="0.25">
      <c r="A93" s="318" t="s">
        <v>14</v>
      </c>
      <c r="B93" s="319"/>
      <c r="C93" s="319"/>
      <c r="D93" s="320"/>
      <c r="F93" s="139">
        <f>17000*('PPI Adj'!D6)</f>
        <v>19839</v>
      </c>
    </row>
    <row r="94" spans="1:6" ht="14.45" customHeight="1" x14ac:dyDescent="0.25">
      <c r="A94" s="318" t="s">
        <v>91</v>
      </c>
      <c r="B94" s="319"/>
      <c r="C94" s="319"/>
      <c r="D94" s="320"/>
      <c r="F94" s="139">
        <f>3055*('PPI Adj'!D6)</f>
        <v>3565.1849999999999</v>
      </c>
    </row>
    <row r="95" spans="1:6" ht="15" customHeight="1" thickBot="1" x14ac:dyDescent="0.3">
      <c r="A95" s="321" t="s">
        <v>92</v>
      </c>
      <c r="B95" s="322"/>
      <c r="C95" s="322"/>
      <c r="D95" s="323"/>
      <c r="F95" s="140">
        <f>-946*('PPI Adj'!D6)</f>
        <v>-1103.982</v>
      </c>
    </row>
    <row r="96" spans="1:6" ht="15.75" thickBot="1" x14ac:dyDescent="0.3"/>
    <row r="97" spans="1:6" ht="15.95" customHeight="1" thickBot="1" x14ac:dyDescent="0.3">
      <c r="A97" s="303" t="s">
        <v>166</v>
      </c>
      <c r="B97" s="304"/>
      <c r="C97" s="304"/>
      <c r="D97" s="305"/>
      <c r="E97" s="38"/>
      <c r="F97" s="113" t="s">
        <v>262</v>
      </c>
    </row>
    <row r="98" spans="1:6" ht="15" customHeight="1" thickBot="1" x14ac:dyDescent="0.3">
      <c r="A98" s="52" t="s">
        <v>33</v>
      </c>
      <c r="B98" s="24" t="s">
        <v>7</v>
      </c>
      <c r="C98" s="327" t="s">
        <v>165</v>
      </c>
      <c r="D98" s="328"/>
      <c r="E98" s="39"/>
      <c r="F98" s="97" t="s">
        <v>212</v>
      </c>
    </row>
    <row r="99" spans="1:6" ht="41.1" customHeight="1" thickBot="1" x14ac:dyDescent="0.3">
      <c r="A99" s="53" t="s">
        <v>83</v>
      </c>
      <c r="B99" s="23" t="s">
        <v>146</v>
      </c>
      <c r="C99" s="329"/>
      <c r="D99" s="330"/>
      <c r="F99" s="133"/>
    </row>
    <row r="100" spans="1:6" ht="26.25" thickBot="1" x14ac:dyDescent="0.3">
      <c r="A100" s="50" t="s">
        <v>34</v>
      </c>
      <c r="B100" s="30" t="s">
        <v>107</v>
      </c>
      <c r="C100" s="310" t="s">
        <v>30</v>
      </c>
      <c r="D100" s="311"/>
      <c r="F100" s="133" t="s">
        <v>325</v>
      </c>
    </row>
    <row r="101" spans="1:6" ht="53.1" customHeight="1" thickBot="1" x14ac:dyDescent="0.3">
      <c r="A101" s="50" t="s">
        <v>35</v>
      </c>
      <c r="B101" s="30" t="s">
        <v>97</v>
      </c>
      <c r="C101" s="298"/>
      <c r="D101" s="299"/>
      <c r="F101" s="133"/>
    </row>
    <row r="102" spans="1:6" ht="27.95" customHeight="1" thickBot="1" x14ac:dyDescent="0.3">
      <c r="A102" s="50" t="s">
        <v>36</v>
      </c>
      <c r="B102" s="30" t="s">
        <v>84</v>
      </c>
      <c r="C102" s="310" t="s">
        <v>99</v>
      </c>
      <c r="D102" s="311"/>
      <c r="F102" s="133" t="s">
        <v>326</v>
      </c>
    </row>
    <row r="103" spans="1:6" ht="14.45" customHeight="1" x14ac:dyDescent="0.25">
      <c r="A103" s="284" t="s">
        <v>60</v>
      </c>
      <c r="B103" s="286" t="s">
        <v>133</v>
      </c>
      <c r="C103" s="288" t="s">
        <v>208</v>
      </c>
      <c r="D103" s="289"/>
      <c r="F103" s="134" t="s">
        <v>357</v>
      </c>
    </row>
    <row r="104" spans="1:6" ht="14.45" customHeight="1" x14ac:dyDescent="0.25">
      <c r="A104" s="292"/>
      <c r="B104" s="293"/>
      <c r="C104" s="294" t="s">
        <v>207</v>
      </c>
      <c r="D104" s="295"/>
      <c r="F104" s="127" t="s">
        <v>359</v>
      </c>
    </row>
    <row r="105" spans="1:6" ht="14.45" customHeight="1" x14ac:dyDescent="0.25">
      <c r="A105" s="292"/>
      <c r="B105" s="293"/>
      <c r="C105" s="294" t="s">
        <v>114</v>
      </c>
      <c r="D105" s="295"/>
      <c r="F105" s="127">
        <v>7372135444</v>
      </c>
    </row>
    <row r="106" spans="1:6" ht="24.95" customHeight="1" thickBot="1" x14ac:dyDescent="0.3">
      <c r="A106" s="285"/>
      <c r="B106" s="287"/>
      <c r="C106" s="282" t="s">
        <v>115</v>
      </c>
      <c r="D106" s="283"/>
      <c r="F106" s="135" t="s">
        <v>363</v>
      </c>
    </row>
    <row r="107" spans="1:6" ht="14.45" customHeight="1" x14ac:dyDescent="0.25">
      <c r="A107" s="284" t="s">
        <v>61</v>
      </c>
      <c r="B107" s="286" t="s">
        <v>211</v>
      </c>
      <c r="C107" s="288" t="s">
        <v>210</v>
      </c>
      <c r="D107" s="289"/>
      <c r="F107" s="134" t="s">
        <v>357</v>
      </c>
    </row>
    <row r="108" spans="1:6" ht="14.45" customHeight="1" x14ac:dyDescent="0.25">
      <c r="A108" s="292"/>
      <c r="B108" s="293"/>
      <c r="C108" s="294" t="s">
        <v>209</v>
      </c>
      <c r="D108" s="295"/>
      <c r="F108" s="126" t="s">
        <v>358</v>
      </c>
    </row>
    <row r="109" spans="1:6" ht="14.45" customHeight="1" x14ac:dyDescent="0.25">
      <c r="A109" s="292"/>
      <c r="B109" s="293"/>
      <c r="C109" s="294" t="s">
        <v>208</v>
      </c>
      <c r="D109" s="295"/>
      <c r="F109" s="126" t="s">
        <v>357</v>
      </c>
    </row>
    <row r="110" spans="1:6" ht="14.45" customHeight="1" x14ac:dyDescent="0.25">
      <c r="A110" s="292"/>
      <c r="B110" s="293"/>
      <c r="C110" s="294" t="s">
        <v>207</v>
      </c>
      <c r="D110" s="295"/>
      <c r="F110" s="127" t="s">
        <v>359</v>
      </c>
    </row>
    <row r="111" spans="1:6" ht="14.45" customHeight="1" x14ac:dyDescent="0.25">
      <c r="A111" s="292"/>
      <c r="B111" s="293"/>
      <c r="C111" s="294" t="s">
        <v>112</v>
      </c>
      <c r="D111" s="295"/>
      <c r="F111" s="127">
        <v>7382135443</v>
      </c>
    </row>
    <row r="112" spans="1:6" ht="14.45" customHeight="1" x14ac:dyDescent="0.25">
      <c r="A112" s="292"/>
      <c r="B112" s="293"/>
      <c r="C112" s="294" t="s">
        <v>113</v>
      </c>
      <c r="D112" s="295"/>
      <c r="F112" s="126" t="s">
        <v>360</v>
      </c>
    </row>
    <row r="113" spans="1:6" ht="14.45" customHeight="1" x14ac:dyDescent="0.25">
      <c r="A113" s="292"/>
      <c r="B113" s="293"/>
      <c r="C113" s="294" t="s">
        <v>114</v>
      </c>
      <c r="D113" s="295"/>
      <c r="F113" s="126">
        <v>7382135443</v>
      </c>
    </row>
    <row r="114" spans="1:6" ht="15" customHeight="1" thickBot="1" x14ac:dyDescent="0.3">
      <c r="A114" s="285"/>
      <c r="B114" s="287"/>
      <c r="C114" s="282" t="s">
        <v>115</v>
      </c>
      <c r="D114" s="283"/>
      <c r="F114" s="135" t="s">
        <v>360</v>
      </c>
    </row>
    <row r="115" spans="1:6" ht="143.44999999999999" customHeight="1" thickBot="1" x14ac:dyDescent="0.3">
      <c r="A115" s="54" t="s">
        <v>86</v>
      </c>
      <c r="B115" s="18" t="s">
        <v>143</v>
      </c>
      <c r="C115" s="310" t="s">
        <v>104</v>
      </c>
      <c r="D115" s="311"/>
      <c r="F115" s="134" t="s">
        <v>312</v>
      </c>
    </row>
    <row r="116" spans="1:6" ht="168.6" customHeight="1" thickBot="1" x14ac:dyDescent="0.3">
      <c r="A116" s="50" t="s">
        <v>85</v>
      </c>
      <c r="B116" s="14" t="s">
        <v>170</v>
      </c>
      <c r="C116" s="310" t="s">
        <v>104</v>
      </c>
      <c r="D116" s="311"/>
      <c r="F116" s="133" t="s">
        <v>182</v>
      </c>
    </row>
    <row r="117" spans="1:6" ht="29.1" customHeight="1" x14ac:dyDescent="0.25">
      <c r="A117" s="284" t="s">
        <v>13</v>
      </c>
      <c r="B117" s="286" t="s">
        <v>98</v>
      </c>
      <c r="C117" s="288" t="s">
        <v>30</v>
      </c>
      <c r="D117" s="289"/>
      <c r="F117" s="134" t="s">
        <v>329</v>
      </c>
    </row>
    <row r="118" spans="1:6" ht="24.6" customHeight="1" thickBot="1" x14ac:dyDescent="0.3">
      <c r="A118" s="285"/>
      <c r="B118" s="287"/>
      <c r="C118" s="282" t="s">
        <v>109</v>
      </c>
      <c r="D118" s="283"/>
      <c r="F118" s="135" t="s">
        <v>258</v>
      </c>
    </row>
    <row r="119" spans="1:6" ht="66" customHeight="1" thickBot="1" x14ac:dyDescent="0.3">
      <c r="A119" s="50" t="s">
        <v>37</v>
      </c>
      <c r="B119" s="30" t="s">
        <v>135</v>
      </c>
      <c r="C119" s="298"/>
      <c r="D119" s="299"/>
      <c r="F119" s="133" t="s">
        <v>330</v>
      </c>
    </row>
    <row r="120" spans="1:6" ht="40.5" customHeight="1" thickBot="1" x14ac:dyDescent="0.3">
      <c r="A120" s="50" t="s">
        <v>38</v>
      </c>
      <c r="B120" s="30" t="s">
        <v>87</v>
      </c>
      <c r="C120" s="298"/>
      <c r="D120" s="299"/>
      <c r="F120" s="133"/>
    </row>
    <row r="121" spans="1:6" ht="15.75" thickBot="1" x14ac:dyDescent="0.3">
      <c r="A121" s="50" t="s">
        <v>206</v>
      </c>
      <c r="B121" s="30" t="s">
        <v>205</v>
      </c>
      <c r="C121" s="310"/>
      <c r="D121" s="311"/>
      <c r="F121" s="133" t="s">
        <v>188</v>
      </c>
    </row>
    <row r="122" spans="1:6" ht="27.95" customHeight="1" thickBot="1" x14ac:dyDescent="0.3">
      <c r="A122" s="50" t="s">
        <v>39</v>
      </c>
      <c r="B122" s="30" t="s">
        <v>106</v>
      </c>
      <c r="C122" s="310" t="s">
        <v>105</v>
      </c>
      <c r="D122" s="311"/>
      <c r="F122" s="133" t="s">
        <v>331</v>
      </c>
    </row>
    <row r="123" spans="1:6" ht="26.25" thickBot="1" x14ac:dyDescent="0.3">
      <c r="A123" s="50" t="s">
        <v>40</v>
      </c>
      <c r="B123" s="30" t="s">
        <v>137</v>
      </c>
      <c r="C123" s="310" t="s">
        <v>100</v>
      </c>
      <c r="D123" s="311"/>
      <c r="F123" s="135" t="s">
        <v>333</v>
      </c>
    </row>
    <row r="124" spans="1:6" ht="54.95" customHeight="1" x14ac:dyDescent="0.25">
      <c r="A124" s="372" t="s">
        <v>14</v>
      </c>
      <c r="B124" s="286" t="s">
        <v>138</v>
      </c>
      <c r="C124" s="288" t="s">
        <v>139</v>
      </c>
      <c r="D124" s="358"/>
      <c r="F124" s="134">
        <v>2</v>
      </c>
    </row>
    <row r="125" spans="1:6" ht="54.95" customHeight="1" thickBot="1" x14ac:dyDescent="0.3">
      <c r="A125" s="373"/>
      <c r="B125" s="287"/>
      <c r="C125" s="282" t="s">
        <v>364</v>
      </c>
      <c r="D125" s="357"/>
      <c r="F125" s="135" t="s">
        <v>365</v>
      </c>
    </row>
    <row r="126" spans="1:6" ht="66" customHeight="1" thickBot="1" x14ac:dyDescent="0.3">
      <c r="A126" s="50" t="s">
        <v>91</v>
      </c>
      <c r="B126" s="30" t="s">
        <v>144</v>
      </c>
      <c r="C126" s="310" t="s">
        <v>100</v>
      </c>
      <c r="D126" s="311"/>
      <c r="F126" s="133" t="s">
        <v>336</v>
      </c>
    </row>
    <row r="127" spans="1:6" ht="68.45" customHeight="1" thickBot="1" x14ac:dyDescent="0.3">
      <c r="A127" s="50" t="s">
        <v>92</v>
      </c>
      <c r="B127" s="30" t="s">
        <v>145</v>
      </c>
      <c r="C127" s="298"/>
      <c r="D127" s="299"/>
      <c r="F127" s="133"/>
    </row>
  </sheetData>
  <sheetProtection algorithmName="SHA-512" hashValue="ciCREkVhtxrcEcdUDX8r6yFcvGnAgIBmHpb3Y4oJOizgpnglZ+chYvU3oalYFwGOVW+nNErWkC6Ktruaqr2ycA==" saltValue="G5Y09bVoNL+hq3mA3gyFfg==" spinCount="100000" sheet="1" objects="1" scenarios="1"/>
  <mergeCells count="142">
    <mergeCell ref="C27:D27"/>
    <mergeCell ref="C28:D28"/>
    <mergeCell ref="B11:D11"/>
    <mergeCell ref="A3:D3"/>
    <mergeCell ref="A4:D4"/>
    <mergeCell ref="A6:D6"/>
    <mergeCell ref="B8:D8"/>
    <mergeCell ref="B9:D9"/>
    <mergeCell ref="B10:D10"/>
    <mergeCell ref="B13:D13"/>
    <mergeCell ref="B14:D14"/>
    <mergeCell ref="B41:B43"/>
    <mergeCell ref="C41:D41"/>
    <mergeCell ref="C42:D42"/>
    <mergeCell ref="B12:D12"/>
    <mergeCell ref="B21:D21"/>
    <mergeCell ref="B22:D22"/>
    <mergeCell ref="A24:D24"/>
    <mergeCell ref="B15:D15"/>
    <mergeCell ref="B16:D16"/>
    <mergeCell ref="B17:D17"/>
    <mergeCell ref="A19:D19"/>
    <mergeCell ref="C40:D40"/>
    <mergeCell ref="C29:D29"/>
    <mergeCell ref="A30:A34"/>
    <mergeCell ref="B30:B34"/>
    <mergeCell ref="C30:D30"/>
    <mergeCell ref="C31:D31"/>
    <mergeCell ref="C32:D32"/>
    <mergeCell ref="C33:D33"/>
    <mergeCell ref="C34:D34"/>
    <mergeCell ref="C25:D25"/>
    <mergeCell ref="C26:D26"/>
    <mergeCell ref="A27:A28"/>
    <mergeCell ref="B27:B28"/>
    <mergeCell ref="C35:D35"/>
    <mergeCell ref="A36:A37"/>
    <mergeCell ref="B36:B37"/>
    <mergeCell ref="C36:D36"/>
    <mergeCell ref="C37:D37"/>
    <mergeCell ref="A38:A39"/>
    <mergeCell ref="B38:B39"/>
    <mergeCell ref="C38:D38"/>
    <mergeCell ref="C39:D39"/>
    <mergeCell ref="C64:D64"/>
    <mergeCell ref="C65:D65"/>
    <mergeCell ref="C66:D66"/>
    <mergeCell ref="C67:D67"/>
    <mergeCell ref="C68:D68"/>
    <mergeCell ref="C61:D61"/>
    <mergeCell ref="C62:D62"/>
    <mergeCell ref="C63:D63"/>
    <mergeCell ref="C60:D60"/>
    <mergeCell ref="C43:D43"/>
    <mergeCell ref="A53:A55"/>
    <mergeCell ref="B53:B55"/>
    <mergeCell ref="C53:D53"/>
    <mergeCell ref="C54:D54"/>
    <mergeCell ref="C55:D55"/>
    <mergeCell ref="C56:D56"/>
    <mergeCell ref="A57:A59"/>
    <mergeCell ref="B57:B59"/>
    <mergeCell ref="C57:D57"/>
    <mergeCell ref="C58:D58"/>
    <mergeCell ref="C59:D59"/>
    <mergeCell ref="C52:D52"/>
    <mergeCell ref="C44:D44"/>
    <mergeCell ref="A45:A52"/>
    <mergeCell ref="B45:B52"/>
    <mergeCell ref="C45:D45"/>
    <mergeCell ref="C46:D46"/>
    <mergeCell ref="C47:D47"/>
    <mergeCell ref="C48:D48"/>
    <mergeCell ref="C49:D49"/>
    <mergeCell ref="C50:D50"/>
    <mergeCell ref="C51:D51"/>
    <mergeCell ref="A41:A43"/>
    <mergeCell ref="C69:D69"/>
    <mergeCell ref="C70:D70"/>
    <mergeCell ref="C71:D71"/>
    <mergeCell ref="C72:D72"/>
    <mergeCell ref="C73:D73"/>
    <mergeCell ref="C74:D74"/>
    <mergeCell ref="C75:D75"/>
    <mergeCell ref="A77:D77"/>
    <mergeCell ref="A78:D78"/>
    <mergeCell ref="A93:D93"/>
    <mergeCell ref="A94:D94"/>
    <mergeCell ref="A95:D95"/>
    <mergeCell ref="A79:D79"/>
    <mergeCell ref="A80:D80"/>
    <mergeCell ref="A81:D81"/>
    <mergeCell ref="A82:D82"/>
    <mergeCell ref="A83:D83"/>
    <mergeCell ref="A84:D84"/>
    <mergeCell ref="A85:D85"/>
    <mergeCell ref="A88:D88"/>
    <mergeCell ref="A89:D89"/>
    <mergeCell ref="A90:D90"/>
    <mergeCell ref="A91:D91"/>
    <mergeCell ref="A92:D92"/>
    <mergeCell ref="A86:D86"/>
    <mergeCell ref="A87:D87"/>
    <mergeCell ref="A103:A106"/>
    <mergeCell ref="B103:B106"/>
    <mergeCell ref="C103:D103"/>
    <mergeCell ref="C104:D104"/>
    <mergeCell ref="C105:D105"/>
    <mergeCell ref="C106:D106"/>
    <mergeCell ref="A97:D97"/>
    <mergeCell ref="C98:D98"/>
    <mergeCell ref="C99:D99"/>
    <mergeCell ref="C100:D100"/>
    <mergeCell ref="C101:D101"/>
    <mergeCell ref="C102:D102"/>
    <mergeCell ref="C115:D115"/>
    <mergeCell ref="C116:D116"/>
    <mergeCell ref="A117:A118"/>
    <mergeCell ref="B117:B118"/>
    <mergeCell ref="C117:D117"/>
    <mergeCell ref="C118:D118"/>
    <mergeCell ref="A107:A114"/>
    <mergeCell ref="B107:B114"/>
    <mergeCell ref="C107:D107"/>
    <mergeCell ref="C108:D108"/>
    <mergeCell ref="C109:D109"/>
    <mergeCell ref="C110:D110"/>
    <mergeCell ref="C111:D111"/>
    <mergeCell ref="C112:D112"/>
    <mergeCell ref="C113:D113"/>
    <mergeCell ref="C114:D114"/>
    <mergeCell ref="C123:D123"/>
    <mergeCell ref="C124:D124"/>
    <mergeCell ref="C126:D126"/>
    <mergeCell ref="C127:D127"/>
    <mergeCell ref="C119:D119"/>
    <mergeCell ref="C120:D120"/>
    <mergeCell ref="C121:D121"/>
    <mergeCell ref="C122:D122"/>
    <mergeCell ref="A124:A125"/>
    <mergeCell ref="B124:B125"/>
    <mergeCell ref="C125:D125"/>
  </mergeCells>
  <conditionalFormatting sqref="C56 C62">
    <cfRule type="expression" dxfId="20" priority="34">
      <formula>#REF!="NO"</formula>
    </cfRule>
  </conditionalFormatting>
  <conditionalFormatting sqref="C41:D43">
    <cfRule type="expression" dxfId="19" priority="28">
      <formula>$F$2="NO"</formula>
    </cfRule>
  </conditionalFormatting>
  <conditionalFormatting sqref="C124:D124 C125">
    <cfRule type="expression" dxfId="18" priority="1">
      <formula>$F$2="NO"</formula>
    </cfRule>
  </conditionalFormatting>
  <conditionalFormatting sqref="C126:D127">
    <cfRule type="expression" dxfId="17" priority="10">
      <formula>#REF!="NO"</formula>
    </cfRule>
  </conditionalFormatting>
  <conditionalFormatting sqref="C26:E40">
    <cfRule type="expression" dxfId="16" priority="30">
      <formula>#REF!="NO"</formula>
    </cfRule>
  </conditionalFormatting>
  <conditionalFormatting sqref="C44:E75 F79:F95 C99:D123 F99:F127">
    <cfRule type="expression" dxfId="15" priority="2">
      <formula>#REF!="NO"</formula>
    </cfRule>
  </conditionalFormatting>
  <conditionalFormatting sqref="E41:E43">
    <cfRule type="expression" dxfId="14" priority="29">
      <formula>#REF!="NO"</formula>
    </cfRule>
  </conditionalFormatting>
  <conditionalFormatting sqref="F8:F17">
    <cfRule type="expression" dxfId="13" priority="40">
      <formula>#REF!="NO"</formula>
    </cfRule>
  </conditionalFormatting>
  <conditionalFormatting sqref="F21:F22">
    <cfRule type="expression" dxfId="12" priority="36">
      <formula>#REF!="NO"</formula>
    </cfRule>
  </conditionalFormatting>
  <conditionalFormatting sqref="F26:F75">
    <cfRule type="expression" dxfId="11" priority="15">
      <formula>#REF!="NO"</formula>
    </cfRule>
  </conditionalFormatting>
  <pageMargins left="0.7" right="0.7" top="0.75" bottom="0.75" header="0.3" footer="0.3"/>
  <pageSetup scale="79" orientation="landscape" r:id="rId1"/>
  <rowBreaks count="4" manualBreakCount="4">
    <brk id="28" max="6" man="1"/>
    <brk id="75" max="16383" man="1"/>
    <brk id="102" max="16383" man="1"/>
    <brk id="118" max="6"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7BBB5-36C1-4A34-9FCE-48BA36CFD1F0}">
  <sheetPr>
    <tabColor theme="4" tint="0.39997558519241921"/>
  </sheetPr>
  <dimension ref="A1:F126"/>
  <sheetViews>
    <sheetView showGridLines="0" zoomScaleNormal="100" zoomScaleSheetLayoutView="100" workbookViewId="0">
      <selection activeCell="A3" sqref="A3:D3"/>
    </sheetView>
  </sheetViews>
  <sheetFormatPr defaultRowHeight="15" x14ac:dyDescent="0.25"/>
  <cols>
    <col min="1" max="1" width="19.140625" customWidth="1"/>
    <col min="2" max="2" width="62.85546875" customWidth="1"/>
    <col min="3" max="3" width="14.7109375" customWidth="1"/>
    <col min="4" max="4" width="22.7109375" customWidth="1"/>
    <col min="5" max="5" width="2.7109375" customWidth="1"/>
    <col min="6" max="6" width="25" style="116" customWidth="1"/>
  </cols>
  <sheetData>
    <row r="1" spans="1:6" x14ac:dyDescent="0.25">
      <c r="A1" s="235" t="str">
        <f>'A (Item 2-G)'!$A$1</f>
        <v>GROUP 40524-23254, SCHOOL BUSES (Statewide)                                                             Attachment 1 - Specifications and Pricing (Revised October 15, 2026)</v>
      </c>
      <c r="B1" s="2"/>
      <c r="C1" s="2"/>
      <c r="D1" s="2"/>
      <c r="E1" s="2"/>
      <c r="F1" s="107"/>
    </row>
    <row r="2" spans="1:6" x14ac:dyDescent="0.25">
      <c r="A2" s="144" t="s">
        <v>373</v>
      </c>
      <c r="B2" s="26"/>
      <c r="C2" s="26"/>
      <c r="D2" s="26"/>
    </row>
    <row r="3" spans="1:6" ht="23.25" x14ac:dyDescent="0.25">
      <c r="A3" s="376" t="s">
        <v>566</v>
      </c>
      <c r="B3" s="376"/>
      <c r="C3" s="376"/>
      <c r="D3" s="376"/>
      <c r="E3" s="91"/>
    </row>
    <row r="4" spans="1:6" ht="39.950000000000003" customHeight="1" x14ac:dyDescent="0.25">
      <c r="A4" s="377" t="s">
        <v>565</v>
      </c>
      <c r="B4" s="377"/>
      <c r="C4" s="377"/>
      <c r="D4" s="377"/>
      <c r="E4" s="90"/>
      <c r="F4" s="122"/>
    </row>
    <row r="5" spans="1:6" ht="15.75" thickBot="1" x14ac:dyDescent="0.3">
      <c r="A5" s="57"/>
      <c r="B5" s="57"/>
      <c r="C5" s="57"/>
      <c r="D5" s="57"/>
      <c r="E5" s="57"/>
      <c r="F5" s="123"/>
    </row>
    <row r="6" spans="1:6" ht="16.5" thickBot="1" x14ac:dyDescent="0.3">
      <c r="A6" s="276" t="s">
        <v>151</v>
      </c>
      <c r="B6" s="277"/>
      <c r="C6" s="277"/>
      <c r="D6" s="278"/>
      <c r="E6" s="36"/>
      <c r="F6" s="113" t="s">
        <v>567</v>
      </c>
    </row>
    <row r="7" spans="1:6" ht="15.75" thickBot="1" x14ac:dyDescent="0.3">
      <c r="A7" s="41" t="s">
        <v>6</v>
      </c>
      <c r="B7" s="27" t="s">
        <v>165</v>
      </c>
      <c r="C7" s="32"/>
      <c r="D7" s="40"/>
      <c r="E7" s="37"/>
      <c r="F7" s="120" t="s">
        <v>212</v>
      </c>
    </row>
    <row r="8" spans="1:6" ht="65.25" thickTop="1" thickBot="1" x14ac:dyDescent="0.3">
      <c r="A8" s="42" t="s">
        <v>190</v>
      </c>
      <c r="B8" s="267" t="s">
        <v>152</v>
      </c>
      <c r="C8" s="268"/>
      <c r="D8" s="269"/>
      <c r="E8" s="13"/>
      <c r="F8" s="124" t="s">
        <v>568</v>
      </c>
    </row>
    <row r="9" spans="1:6" ht="29.1" customHeight="1" thickTop="1" thickBot="1" x14ac:dyDescent="0.3">
      <c r="A9" s="42" t="s">
        <v>234</v>
      </c>
      <c r="B9" s="267" t="s">
        <v>235</v>
      </c>
      <c r="C9" s="268"/>
      <c r="D9" s="269"/>
      <c r="E9" s="13"/>
      <c r="F9" s="125" t="s">
        <v>607</v>
      </c>
    </row>
    <row r="10" spans="1:6" ht="15.75" thickTop="1" x14ac:dyDescent="0.25">
      <c r="A10" s="43" t="s">
        <v>0</v>
      </c>
      <c r="B10" s="258" t="s">
        <v>154</v>
      </c>
      <c r="C10" s="259"/>
      <c r="D10" s="260"/>
      <c r="E10" s="13"/>
      <c r="F10" s="126" t="s">
        <v>529</v>
      </c>
    </row>
    <row r="11" spans="1:6" x14ac:dyDescent="0.25">
      <c r="A11" s="43" t="s">
        <v>1</v>
      </c>
      <c r="B11" s="258" t="s">
        <v>233</v>
      </c>
      <c r="C11" s="259"/>
      <c r="D11" s="260"/>
      <c r="E11" s="13"/>
      <c r="F11" s="127" t="s">
        <v>569</v>
      </c>
    </row>
    <row r="12" spans="1:6" ht="13.5" customHeight="1" thickBot="1" x14ac:dyDescent="0.3">
      <c r="A12" s="44" t="s">
        <v>2</v>
      </c>
      <c r="B12" s="261" t="s">
        <v>155</v>
      </c>
      <c r="C12" s="262"/>
      <c r="D12" s="263"/>
      <c r="E12" s="13"/>
      <c r="F12" s="128" t="s">
        <v>570</v>
      </c>
    </row>
    <row r="13" spans="1:6" ht="14.25" customHeight="1" thickTop="1" x14ac:dyDescent="0.25">
      <c r="A13" s="43" t="s">
        <v>3</v>
      </c>
      <c r="B13" s="258" t="s">
        <v>157</v>
      </c>
      <c r="C13" s="259"/>
      <c r="D13" s="260"/>
      <c r="E13" s="13"/>
      <c r="F13" s="127" t="s">
        <v>529</v>
      </c>
    </row>
    <row r="14" spans="1:6" x14ac:dyDescent="0.25">
      <c r="A14" s="43" t="s">
        <v>4</v>
      </c>
      <c r="B14" s="258" t="s">
        <v>232</v>
      </c>
      <c r="C14" s="259"/>
      <c r="D14" s="260"/>
      <c r="E14" s="13"/>
      <c r="F14" s="127" t="s">
        <v>569</v>
      </c>
    </row>
    <row r="15" spans="1:6" ht="15.75" thickBot="1" x14ac:dyDescent="0.3">
      <c r="A15" s="45" t="s">
        <v>5</v>
      </c>
      <c r="B15" s="261" t="s">
        <v>158</v>
      </c>
      <c r="C15" s="262"/>
      <c r="D15" s="263"/>
      <c r="E15" s="13"/>
      <c r="F15" s="129" t="s">
        <v>571</v>
      </c>
    </row>
    <row r="16" spans="1:6" ht="14.45" customHeight="1" thickTop="1" x14ac:dyDescent="0.25">
      <c r="A16" s="43" t="s">
        <v>101</v>
      </c>
      <c r="B16" s="264" t="s">
        <v>231</v>
      </c>
      <c r="C16" s="265"/>
      <c r="D16" s="266"/>
      <c r="E16" s="13"/>
      <c r="F16" s="130">
        <v>100</v>
      </c>
    </row>
    <row r="17" spans="1:6" ht="14.45" customHeight="1" thickBot="1" x14ac:dyDescent="0.3">
      <c r="A17" s="45" t="s">
        <v>43</v>
      </c>
      <c r="B17" s="261" t="s">
        <v>230</v>
      </c>
      <c r="C17" s="262"/>
      <c r="D17" s="263"/>
      <c r="E17" s="13"/>
      <c r="F17" s="129" t="s">
        <v>572</v>
      </c>
    </row>
    <row r="18" spans="1:6" ht="16.5" thickTop="1" thickBot="1" x14ac:dyDescent="0.3">
      <c r="F18" s="121"/>
    </row>
    <row r="19" spans="1:6" ht="16.5" thickBot="1" x14ac:dyDescent="0.3">
      <c r="A19" s="276" t="s">
        <v>150</v>
      </c>
      <c r="B19" s="277"/>
      <c r="C19" s="277"/>
      <c r="D19" s="278"/>
      <c r="E19" s="36"/>
      <c r="F19" s="113" t="s">
        <v>567</v>
      </c>
    </row>
    <row r="20" spans="1:6" ht="15.75" thickBot="1" x14ac:dyDescent="0.3">
      <c r="A20" s="55" t="s">
        <v>6</v>
      </c>
      <c r="B20" s="31" t="s">
        <v>165</v>
      </c>
      <c r="C20" s="33"/>
      <c r="D20" s="48"/>
      <c r="E20" s="37"/>
      <c r="F20" s="97" t="s">
        <v>212</v>
      </c>
    </row>
    <row r="21" spans="1:6" ht="26.1" customHeight="1" x14ac:dyDescent="0.25">
      <c r="A21" s="46" t="s">
        <v>42</v>
      </c>
      <c r="B21" s="279" t="s">
        <v>161</v>
      </c>
      <c r="C21" s="280"/>
      <c r="D21" s="281"/>
      <c r="F21" s="131">
        <f>393900*('PPI Adj'!D6)</f>
        <v>459681.3</v>
      </c>
    </row>
    <row r="22" spans="1:6" ht="26.25" thickBot="1" x14ac:dyDescent="0.3">
      <c r="A22" s="47" t="s">
        <v>41</v>
      </c>
      <c r="B22" s="300" t="s">
        <v>163</v>
      </c>
      <c r="C22" s="301"/>
      <c r="D22" s="302"/>
      <c r="F22" s="132">
        <v>16</v>
      </c>
    </row>
    <row r="23" spans="1:6" ht="15.75" thickBot="1" x14ac:dyDescent="0.3">
      <c r="F23" s="121"/>
    </row>
    <row r="24" spans="1:6" ht="15.95" customHeight="1" thickBot="1" x14ac:dyDescent="0.3">
      <c r="A24" s="303" t="s">
        <v>164</v>
      </c>
      <c r="B24" s="304"/>
      <c r="C24" s="304"/>
      <c r="D24" s="305"/>
      <c r="E24" s="38"/>
      <c r="F24" s="113" t="s">
        <v>567</v>
      </c>
    </row>
    <row r="25" spans="1:6" ht="15" customHeight="1" thickBot="1" x14ac:dyDescent="0.3">
      <c r="A25" s="55" t="s">
        <v>6</v>
      </c>
      <c r="B25" s="56" t="s">
        <v>7</v>
      </c>
      <c r="C25" s="306" t="s">
        <v>165</v>
      </c>
      <c r="D25" s="307"/>
      <c r="E25" s="39"/>
      <c r="F25" s="97" t="s">
        <v>212</v>
      </c>
    </row>
    <row r="26" spans="1:6" ht="51.75" thickBot="1" x14ac:dyDescent="0.3">
      <c r="A26" s="49" t="s">
        <v>8</v>
      </c>
      <c r="B26" s="29" t="s">
        <v>564</v>
      </c>
      <c r="C26" s="282" t="s">
        <v>118</v>
      </c>
      <c r="D26" s="283"/>
      <c r="E26" s="34"/>
      <c r="F26" s="133" t="s">
        <v>573</v>
      </c>
    </row>
    <row r="27" spans="1:6" x14ac:dyDescent="0.25">
      <c r="A27" s="284" t="s">
        <v>21</v>
      </c>
      <c r="B27" s="286" t="s">
        <v>563</v>
      </c>
      <c r="C27" s="288" t="s">
        <v>67</v>
      </c>
      <c r="D27" s="289"/>
      <c r="E27" s="34"/>
      <c r="F27" s="134" t="s">
        <v>574</v>
      </c>
    </row>
    <row r="28" spans="1:6" ht="15" customHeight="1" thickBot="1" x14ac:dyDescent="0.3">
      <c r="A28" s="285"/>
      <c r="B28" s="287"/>
      <c r="C28" s="282" t="s">
        <v>68</v>
      </c>
      <c r="D28" s="283"/>
      <c r="E28" s="34"/>
      <c r="F28" s="135" t="s">
        <v>575</v>
      </c>
    </row>
    <row r="29" spans="1:6" ht="15.75" thickBot="1" x14ac:dyDescent="0.3">
      <c r="A29" s="50" t="s">
        <v>123</v>
      </c>
      <c r="B29" s="30" t="s">
        <v>108</v>
      </c>
      <c r="C29" s="298"/>
      <c r="D29" s="299"/>
      <c r="E29" s="35"/>
      <c r="F29" s="133"/>
    </row>
    <row r="30" spans="1:6" ht="14.45" customHeight="1" x14ac:dyDescent="0.25">
      <c r="A30" s="284" t="s">
        <v>59</v>
      </c>
      <c r="B30" s="286"/>
      <c r="C30" s="288" t="s">
        <v>58</v>
      </c>
      <c r="D30" s="289"/>
      <c r="E30" s="34"/>
      <c r="F30" s="134" t="s">
        <v>576</v>
      </c>
    </row>
    <row r="31" spans="1:6" ht="14.45" customHeight="1" x14ac:dyDescent="0.25">
      <c r="A31" s="292"/>
      <c r="B31" s="293"/>
      <c r="C31" s="294" t="s">
        <v>57</v>
      </c>
      <c r="D31" s="295"/>
      <c r="E31" s="34"/>
      <c r="F31" s="127" t="s">
        <v>577</v>
      </c>
    </row>
    <row r="32" spans="1:6" ht="14.45" customHeight="1" x14ac:dyDescent="0.25">
      <c r="A32" s="292"/>
      <c r="B32" s="293"/>
      <c r="C32" s="294" t="s">
        <v>69</v>
      </c>
      <c r="D32" s="295"/>
      <c r="E32" s="34"/>
      <c r="F32" s="127" t="s">
        <v>578</v>
      </c>
    </row>
    <row r="33" spans="1:6" ht="14.45" customHeight="1" x14ac:dyDescent="0.25">
      <c r="A33" s="292"/>
      <c r="B33" s="293"/>
      <c r="C33" s="296" t="s">
        <v>70</v>
      </c>
      <c r="D33" s="297"/>
      <c r="E33" s="34"/>
      <c r="F33" s="127" t="s">
        <v>579</v>
      </c>
    </row>
    <row r="34" spans="1:6" ht="15" customHeight="1" thickBot="1" x14ac:dyDescent="0.3">
      <c r="A34" s="285"/>
      <c r="B34" s="287"/>
      <c r="C34" s="282" t="s">
        <v>111</v>
      </c>
      <c r="D34" s="283"/>
      <c r="E34" s="34"/>
      <c r="F34" s="135" t="s">
        <v>580</v>
      </c>
    </row>
    <row r="35" spans="1:6" ht="14.45" customHeight="1" x14ac:dyDescent="0.25">
      <c r="A35" s="284" t="s">
        <v>11</v>
      </c>
      <c r="B35" s="286"/>
      <c r="C35" s="288" t="s">
        <v>24</v>
      </c>
      <c r="D35" s="289"/>
      <c r="E35" s="34"/>
      <c r="F35" s="134" t="s">
        <v>581</v>
      </c>
    </row>
    <row r="36" spans="1:6" ht="15" customHeight="1" thickBot="1" x14ac:dyDescent="0.3">
      <c r="A36" s="285"/>
      <c r="B36" s="287"/>
      <c r="C36" s="282" t="s">
        <v>22</v>
      </c>
      <c r="D36" s="283"/>
      <c r="E36" s="34"/>
      <c r="F36" s="135" t="s">
        <v>581</v>
      </c>
    </row>
    <row r="37" spans="1:6" ht="14.45" customHeight="1" x14ac:dyDescent="0.25">
      <c r="A37" s="284" t="s">
        <v>16</v>
      </c>
      <c r="B37" s="286"/>
      <c r="C37" s="288" t="s">
        <v>24</v>
      </c>
      <c r="D37" s="289"/>
      <c r="E37" s="34"/>
      <c r="F37" s="134" t="s">
        <v>582</v>
      </c>
    </row>
    <row r="38" spans="1:6" ht="15" customHeight="1" thickBot="1" x14ac:dyDescent="0.3">
      <c r="A38" s="285"/>
      <c r="B38" s="287"/>
      <c r="C38" s="290" t="s">
        <v>23</v>
      </c>
      <c r="D38" s="291"/>
      <c r="E38" s="34"/>
      <c r="F38" s="135" t="s">
        <v>582</v>
      </c>
    </row>
    <row r="39" spans="1:6" ht="15.75" thickBot="1" x14ac:dyDescent="0.3">
      <c r="A39" s="50" t="s">
        <v>52</v>
      </c>
      <c r="B39" s="30" t="s">
        <v>53</v>
      </c>
      <c r="C39" s="298"/>
      <c r="D39" s="299"/>
      <c r="E39" s="35"/>
      <c r="F39" s="133"/>
    </row>
    <row r="40" spans="1:6" ht="14.45" customHeight="1" x14ac:dyDescent="0.25">
      <c r="A40" s="284" t="s">
        <v>224</v>
      </c>
      <c r="B40" s="286" t="s">
        <v>227</v>
      </c>
      <c r="C40" s="288" t="s">
        <v>226</v>
      </c>
      <c r="D40" s="289"/>
      <c r="E40" s="34"/>
      <c r="F40" s="134" t="s">
        <v>583</v>
      </c>
    </row>
    <row r="41" spans="1:6" ht="14.45" customHeight="1" x14ac:dyDescent="0.25">
      <c r="A41" s="292"/>
      <c r="B41" s="293"/>
      <c r="C41" s="294" t="s">
        <v>225</v>
      </c>
      <c r="D41" s="295"/>
      <c r="E41" s="34"/>
      <c r="F41" s="127" t="s">
        <v>584</v>
      </c>
    </row>
    <row r="42" spans="1:6" ht="88.5" customHeight="1" thickBot="1" x14ac:dyDescent="0.3">
      <c r="A42" s="285"/>
      <c r="B42" s="293"/>
      <c r="C42" s="290"/>
      <c r="D42" s="291"/>
      <c r="E42" s="34"/>
      <c r="F42" s="136"/>
    </row>
    <row r="43" spans="1:6" ht="30.95" customHeight="1" thickBot="1" x14ac:dyDescent="0.3">
      <c r="A43" s="49" t="s">
        <v>224</v>
      </c>
      <c r="B43" s="30" t="s">
        <v>223</v>
      </c>
      <c r="C43" s="298"/>
      <c r="D43" s="299"/>
      <c r="E43" s="35"/>
      <c r="F43" s="133"/>
    </row>
    <row r="44" spans="1:6" ht="15" customHeight="1" thickBot="1" x14ac:dyDescent="0.3">
      <c r="A44" s="284" t="s">
        <v>12</v>
      </c>
      <c r="B44" s="309" t="s">
        <v>142</v>
      </c>
      <c r="C44" s="288" t="s">
        <v>174</v>
      </c>
      <c r="D44" s="289"/>
      <c r="E44" s="34"/>
      <c r="F44" s="134" t="s">
        <v>585</v>
      </c>
    </row>
    <row r="45" spans="1:6" ht="15" customHeight="1" thickBot="1" x14ac:dyDescent="0.3">
      <c r="A45" s="292"/>
      <c r="B45" s="309"/>
      <c r="C45" s="294" t="s">
        <v>175</v>
      </c>
      <c r="D45" s="295"/>
      <c r="E45" s="34"/>
      <c r="F45" s="127" t="s">
        <v>586</v>
      </c>
    </row>
    <row r="46" spans="1:6" ht="15" customHeight="1" thickBot="1" x14ac:dyDescent="0.3">
      <c r="A46" s="292"/>
      <c r="B46" s="309"/>
      <c r="C46" s="294" t="s">
        <v>176</v>
      </c>
      <c r="D46" s="295"/>
      <c r="E46" s="34"/>
      <c r="F46" s="126" t="s">
        <v>585</v>
      </c>
    </row>
    <row r="47" spans="1:6" ht="15" customHeight="1" thickBot="1" x14ac:dyDescent="0.3">
      <c r="A47" s="292"/>
      <c r="B47" s="309"/>
      <c r="C47" s="294" t="s">
        <v>177</v>
      </c>
      <c r="D47" s="295"/>
      <c r="E47" s="34"/>
      <c r="F47" s="127" t="s">
        <v>587</v>
      </c>
    </row>
    <row r="48" spans="1:6" ht="15" customHeight="1" thickBot="1" x14ac:dyDescent="0.3">
      <c r="A48" s="292"/>
      <c r="B48" s="309"/>
      <c r="C48" s="294" t="s">
        <v>112</v>
      </c>
      <c r="D48" s="295"/>
      <c r="E48" s="34"/>
      <c r="F48" s="127">
        <v>5532063</v>
      </c>
    </row>
    <row r="49" spans="1:6" ht="15" customHeight="1" thickBot="1" x14ac:dyDescent="0.3">
      <c r="A49" s="292"/>
      <c r="B49" s="309"/>
      <c r="C49" s="294" t="s">
        <v>113</v>
      </c>
      <c r="D49" s="295"/>
      <c r="E49" s="34"/>
      <c r="F49" s="127" t="s">
        <v>588</v>
      </c>
    </row>
    <row r="50" spans="1:6" ht="15" customHeight="1" thickBot="1" x14ac:dyDescent="0.3">
      <c r="A50" s="292"/>
      <c r="B50" s="309"/>
      <c r="C50" s="296" t="s">
        <v>114</v>
      </c>
      <c r="D50" s="297"/>
      <c r="E50" s="34"/>
      <c r="F50" s="127">
        <v>5532063</v>
      </c>
    </row>
    <row r="51" spans="1:6" ht="15.75" thickBot="1" x14ac:dyDescent="0.3">
      <c r="A51" s="285"/>
      <c r="B51" s="309"/>
      <c r="C51" s="282" t="s">
        <v>115</v>
      </c>
      <c r="D51" s="283"/>
      <c r="E51" s="34"/>
      <c r="F51" s="135" t="s">
        <v>588</v>
      </c>
    </row>
    <row r="52" spans="1:6" x14ac:dyDescent="0.25">
      <c r="A52" s="284" t="s">
        <v>10</v>
      </c>
      <c r="B52" s="286" t="s">
        <v>222</v>
      </c>
      <c r="C52" s="288" t="s">
        <v>116</v>
      </c>
      <c r="D52" s="289"/>
      <c r="E52" s="34"/>
      <c r="F52" s="134">
        <v>1</v>
      </c>
    </row>
    <row r="53" spans="1:6" x14ac:dyDescent="0.25">
      <c r="A53" s="292"/>
      <c r="B53" s="293"/>
      <c r="C53" s="294" t="s">
        <v>117</v>
      </c>
      <c r="D53" s="295"/>
      <c r="E53" s="34"/>
      <c r="F53" s="127" t="s">
        <v>202</v>
      </c>
    </row>
    <row r="54" spans="1:6" ht="15.75" thickBot="1" x14ac:dyDescent="0.3">
      <c r="A54" s="285"/>
      <c r="B54" s="293"/>
      <c r="C54" s="290" t="s">
        <v>71</v>
      </c>
      <c r="D54" s="291"/>
      <c r="E54" s="34"/>
      <c r="F54" s="136" t="s">
        <v>294</v>
      </c>
    </row>
    <row r="55" spans="1:6" ht="39" thickBot="1" x14ac:dyDescent="0.3">
      <c r="A55" s="51" t="s">
        <v>190</v>
      </c>
      <c r="B55" s="28" t="s">
        <v>191</v>
      </c>
      <c r="C55" s="296" t="s">
        <v>192</v>
      </c>
      <c r="D55" s="297"/>
      <c r="E55" s="34"/>
      <c r="F55" s="134" t="s">
        <v>589</v>
      </c>
    </row>
    <row r="56" spans="1:6" x14ac:dyDescent="0.25">
      <c r="A56" s="284" t="s">
        <v>26</v>
      </c>
      <c r="B56" s="286"/>
      <c r="C56" s="288" t="s">
        <v>193</v>
      </c>
      <c r="D56" s="289"/>
      <c r="E56" s="34"/>
      <c r="F56" s="134" t="s">
        <v>590</v>
      </c>
    </row>
    <row r="57" spans="1:6" ht="14.45" customHeight="1" x14ac:dyDescent="0.25">
      <c r="A57" s="292"/>
      <c r="B57" s="293"/>
      <c r="C57" s="294" t="s">
        <v>194</v>
      </c>
      <c r="D57" s="295"/>
      <c r="E57" s="34"/>
      <c r="F57" s="127" t="s">
        <v>591</v>
      </c>
    </row>
    <row r="58" spans="1:6" ht="15" customHeight="1" thickBot="1" x14ac:dyDescent="0.3">
      <c r="A58" s="285"/>
      <c r="B58" s="287"/>
      <c r="C58" s="282" t="s">
        <v>195</v>
      </c>
      <c r="D58" s="283"/>
      <c r="E58" s="34"/>
      <c r="F58" s="135" t="s">
        <v>592</v>
      </c>
    </row>
    <row r="59" spans="1:6" ht="15.75" thickBot="1" x14ac:dyDescent="0.3">
      <c r="A59" s="50" t="s">
        <v>44</v>
      </c>
      <c r="B59" s="30" t="s">
        <v>45</v>
      </c>
      <c r="C59" s="298"/>
      <c r="D59" s="299"/>
      <c r="E59" s="35"/>
      <c r="F59" s="137"/>
    </row>
    <row r="60" spans="1:6" ht="28.5" customHeight="1" thickBot="1" x14ac:dyDescent="0.3">
      <c r="A60" s="50" t="s">
        <v>44</v>
      </c>
      <c r="B60" s="30" t="s">
        <v>63</v>
      </c>
      <c r="C60" s="298"/>
      <c r="D60" s="299"/>
      <c r="E60" s="35"/>
      <c r="F60" s="137"/>
    </row>
    <row r="61" spans="1:6" ht="27" customHeight="1" thickBot="1" x14ac:dyDescent="0.3">
      <c r="A61" s="50" t="s">
        <v>44</v>
      </c>
      <c r="B61" s="30" t="s">
        <v>64</v>
      </c>
      <c r="C61" s="298"/>
      <c r="D61" s="299"/>
      <c r="E61" s="35"/>
      <c r="F61" s="137"/>
    </row>
    <row r="62" spans="1:6" ht="30.95" customHeight="1" thickBot="1" x14ac:dyDescent="0.3">
      <c r="A62" s="50" t="s">
        <v>50</v>
      </c>
      <c r="B62" s="30" t="s">
        <v>221</v>
      </c>
      <c r="C62" s="298"/>
      <c r="D62" s="299"/>
      <c r="E62" s="35"/>
      <c r="F62" s="137"/>
    </row>
    <row r="63" spans="1:6" ht="27" customHeight="1" thickBot="1" x14ac:dyDescent="0.3">
      <c r="A63" s="50" t="s">
        <v>27</v>
      </c>
      <c r="B63" s="30" t="s">
        <v>220</v>
      </c>
      <c r="C63" s="310" t="s">
        <v>77</v>
      </c>
      <c r="D63" s="311"/>
      <c r="E63" s="34"/>
      <c r="F63" s="133" t="s">
        <v>593</v>
      </c>
    </row>
    <row r="64" spans="1:6" ht="53.45" customHeight="1" thickBot="1" x14ac:dyDescent="0.3">
      <c r="A64" s="49" t="s">
        <v>219</v>
      </c>
      <c r="B64" s="30" t="s">
        <v>218</v>
      </c>
      <c r="C64" s="310"/>
      <c r="D64" s="311"/>
      <c r="E64" s="34"/>
      <c r="F64" s="133"/>
    </row>
    <row r="65" spans="1:6" ht="42.6" customHeight="1" thickBot="1" x14ac:dyDescent="0.3">
      <c r="A65" s="50" t="s">
        <v>51</v>
      </c>
      <c r="B65" s="30" t="s">
        <v>217</v>
      </c>
      <c r="C65" s="298"/>
      <c r="D65" s="299"/>
      <c r="E65" s="35"/>
      <c r="F65" s="133"/>
    </row>
    <row r="66" spans="1:6" ht="40.5" customHeight="1" thickBot="1" x14ac:dyDescent="0.3">
      <c r="A66" s="50" t="s">
        <v>54</v>
      </c>
      <c r="B66" s="30" t="s">
        <v>80</v>
      </c>
      <c r="C66" s="298"/>
      <c r="D66" s="299"/>
      <c r="E66" s="35"/>
      <c r="F66" s="133"/>
    </row>
    <row r="67" spans="1:6" ht="90" thickBot="1" x14ac:dyDescent="0.3">
      <c r="A67" s="50" t="s">
        <v>29</v>
      </c>
      <c r="B67" s="30" t="s">
        <v>216</v>
      </c>
      <c r="C67" s="298"/>
      <c r="D67" s="299"/>
      <c r="E67" s="35"/>
      <c r="F67" s="133"/>
    </row>
    <row r="68" spans="1:6" ht="64.5" thickBot="1" x14ac:dyDescent="0.3">
      <c r="A68" s="50" t="s">
        <v>31</v>
      </c>
      <c r="B68" s="30" t="s">
        <v>215</v>
      </c>
      <c r="C68" s="310" t="s">
        <v>30</v>
      </c>
      <c r="D68" s="311"/>
      <c r="E68" s="34"/>
      <c r="F68" s="133" t="s">
        <v>594</v>
      </c>
    </row>
    <row r="69" spans="1:6" ht="30" customHeight="1" thickBot="1" x14ac:dyDescent="0.3">
      <c r="A69" s="50" t="s">
        <v>55</v>
      </c>
      <c r="B69" s="30" t="s">
        <v>95</v>
      </c>
      <c r="C69" s="298"/>
      <c r="D69" s="299"/>
      <c r="E69" s="35"/>
      <c r="F69" s="133"/>
    </row>
    <row r="70" spans="1:6" ht="39.75" customHeight="1" thickBot="1" x14ac:dyDescent="0.3">
      <c r="A70" s="50" t="s">
        <v>32</v>
      </c>
      <c r="B70" s="30" t="s">
        <v>96</v>
      </c>
      <c r="C70" s="310" t="s">
        <v>30</v>
      </c>
      <c r="D70" s="311"/>
      <c r="E70" s="34"/>
      <c r="F70" s="133" t="s">
        <v>595</v>
      </c>
    </row>
    <row r="71" spans="1:6" ht="42.6" customHeight="1" thickBot="1" x14ac:dyDescent="0.3">
      <c r="A71" s="50" t="s">
        <v>56</v>
      </c>
      <c r="B71" s="30" t="s">
        <v>167</v>
      </c>
      <c r="C71" s="298"/>
      <c r="D71" s="299"/>
      <c r="E71" s="35"/>
      <c r="F71" s="133"/>
    </row>
    <row r="72" spans="1:6" ht="28.5" customHeight="1" thickBot="1" x14ac:dyDescent="0.3">
      <c r="A72" s="50" t="s">
        <v>48</v>
      </c>
      <c r="B72" s="30" t="s">
        <v>47</v>
      </c>
      <c r="C72" s="298"/>
      <c r="D72" s="299"/>
      <c r="E72" s="35"/>
      <c r="F72" s="133"/>
    </row>
    <row r="73" spans="1:6" ht="39.75" customHeight="1" thickBot="1" x14ac:dyDescent="0.3">
      <c r="A73" s="50" t="s">
        <v>49</v>
      </c>
      <c r="B73" s="30" t="s">
        <v>103</v>
      </c>
      <c r="C73" s="298" t="s">
        <v>203</v>
      </c>
      <c r="D73" s="299"/>
      <c r="E73" s="35"/>
      <c r="F73" s="133" t="s">
        <v>562</v>
      </c>
    </row>
    <row r="74" spans="1:6" ht="26.25" thickBot="1" x14ac:dyDescent="0.3">
      <c r="A74" s="50" t="s">
        <v>46</v>
      </c>
      <c r="B74" s="30" t="s">
        <v>81</v>
      </c>
      <c r="C74" s="298"/>
      <c r="D74" s="299"/>
      <c r="E74" s="35"/>
      <c r="F74" s="133"/>
    </row>
    <row r="75" spans="1:6" ht="15.75" thickBot="1" x14ac:dyDescent="0.3">
      <c r="F75" s="121"/>
    </row>
    <row r="76" spans="1:6" ht="15.95" customHeight="1" thickBot="1" x14ac:dyDescent="0.3">
      <c r="A76" s="303" t="s">
        <v>168</v>
      </c>
      <c r="B76" s="304"/>
      <c r="C76" s="304"/>
      <c r="D76" s="305"/>
      <c r="E76" s="38"/>
      <c r="F76" s="113" t="s">
        <v>567</v>
      </c>
    </row>
    <row r="77" spans="1:6" ht="15" customHeight="1" thickBot="1" x14ac:dyDescent="0.3">
      <c r="A77" s="312" t="s">
        <v>169</v>
      </c>
      <c r="B77" s="313"/>
      <c r="C77" s="313"/>
      <c r="D77" s="314"/>
      <c r="E77" s="39"/>
      <c r="F77" s="97" t="s">
        <v>212</v>
      </c>
    </row>
    <row r="78" spans="1:6" ht="14.45" customHeight="1" x14ac:dyDescent="0.25">
      <c r="A78" s="315" t="s">
        <v>83</v>
      </c>
      <c r="B78" s="316"/>
      <c r="C78" s="316"/>
      <c r="D78" s="317"/>
      <c r="F78" s="138">
        <f>-500*('PPI Adj'!D6)</f>
        <v>-583.5</v>
      </c>
    </row>
    <row r="79" spans="1:6" ht="14.45" customHeight="1" x14ac:dyDescent="0.25">
      <c r="A79" s="318" t="s">
        <v>34</v>
      </c>
      <c r="B79" s="319"/>
      <c r="C79" s="319"/>
      <c r="D79" s="320"/>
      <c r="F79" s="139" t="s">
        <v>188</v>
      </c>
    </row>
    <row r="80" spans="1:6" x14ac:dyDescent="0.25">
      <c r="A80" s="318" t="s">
        <v>35</v>
      </c>
      <c r="B80" s="319"/>
      <c r="C80" s="319"/>
      <c r="D80" s="320"/>
      <c r="F80" s="139" t="s">
        <v>188</v>
      </c>
    </row>
    <row r="81" spans="1:6" x14ac:dyDescent="0.25">
      <c r="A81" s="318" t="s">
        <v>36</v>
      </c>
      <c r="B81" s="319"/>
      <c r="C81" s="319"/>
      <c r="D81" s="320"/>
      <c r="F81" s="139" t="s">
        <v>188</v>
      </c>
    </row>
    <row r="82" spans="1:6" ht="14.45" customHeight="1" x14ac:dyDescent="0.25">
      <c r="A82" s="318" t="s">
        <v>214</v>
      </c>
      <c r="B82" s="319"/>
      <c r="C82" s="319"/>
      <c r="D82" s="320"/>
      <c r="F82" s="139" t="s">
        <v>188</v>
      </c>
    </row>
    <row r="83" spans="1:6" x14ac:dyDescent="0.25">
      <c r="A83" s="318" t="s">
        <v>213</v>
      </c>
      <c r="B83" s="319"/>
      <c r="C83" s="319"/>
      <c r="D83" s="320"/>
      <c r="F83" s="139" t="s">
        <v>188</v>
      </c>
    </row>
    <row r="84" spans="1:6" ht="14.45" customHeight="1" x14ac:dyDescent="0.25">
      <c r="A84" s="318" t="s">
        <v>86</v>
      </c>
      <c r="B84" s="319"/>
      <c r="C84" s="319"/>
      <c r="D84" s="320"/>
      <c r="F84" s="139" t="s">
        <v>188</v>
      </c>
    </row>
    <row r="85" spans="1:6" ht="14.45" customHeight="1" x14ac:dyDescent="0.25">
      <c r="A85" s="318" t="s">
        <v>85</v>
      </c>
      <c r="B85" s="319"/>
      <c r="C85" s="319"/>
      <c r="D85" s="320"/>
      <c r="F85" s="139" t="s">
        <v>188</v>
      </c>
    </row>
    <row r="86" spans="1:6" x14ac:dyDescent="0.25">
      <c r="A86" s="318" t="s">
        <v>13</v>
      </c>
      <c r="B86" s="319"/>
      <c r="C86" s="319"/>
      <c r="D86" s="320"/>
      <c r="F86" s="139">
        <f>8834*('PPI Adj'!D6)</f>
        <v>10309.278</v>
      </c>
    </row>
    <row r="87" spans="1:6" ht="14.45" customHeight="1" x14ac:dyDescent="0.25">
      <c r="A87" s="318" t="s">
        <v>37</v>
      </c>
      <c r="B87" s="319"/>
      <c r="C87" s="319"/>
      <c r="D87" s="320"/>
      <c r="F87" s="139" t="s">
        <v>188</v>
      </c>
    </row>
    <row r="88" spans="1:6" x14ac:dyDescent="0.25">
      <c r="A88" s="318" t="s">
        <v>38</v>
      </c>
      <c r="B88" s="319"/>
      <c r="C88" s="319"/>
      <c r="D88" s="320"/>
      <c r="F88" s="139" t="s">
        <v>188</v>
      </c>
    </row>
    <row r="89" spans="1:6" x14ac:dyDescent="0.25">
      <c r="A89" s="318" t="s">
        <v>206</v>
      </c>
      <c r="B89" s="319"/>
      <c r="C89" s="319"/>
      <c r="D89" s="320"/>
      <c r="F89" s="139" t="s">
        <v>188</v>
      </c>
    </row>
    <row r="90" spans="1:6" x14ac:dyDescent="0.25">
      <c r="A90" s="318" t="s">
        <v>39</v>
      </c>
      <c r="B90" s="319"/>
      <c r="C90" s="319"/>
      <c r="D90" s="320"/>
      <c r="F90" s="139">
        <f>680*('PPI Adj'!D6)</f>
        <v>793.56000000000006</v>
      </c>
    </row>
    <row r="91" spans="1:6" x14ac:dyDescent="0.25">
      <c r="A91" s="318" t="s">
        <v>40</v>
      </c>
      <c r="B91" s="319"/>
      <c r="C91" s="319"/>
      <c r="D91" s="320"/>
      <c r="F91" s="139" t="s">
        <v>188</v>
      </c>
    </row>
    <row r="92" spans="1:6" x14ac:dyDescent="0.25">
      <c r="A92" s="318" t="s">
        <v>14</v>
      </c>
      <c r="B92" s="319"/>
      <c r="C92" s="319"/>
      <c r="D92" s="320"/>
      <c r="F92" s="139" t="s">
        <v>188</v>
      </c>
    </row>
    <row r="93" spans="1:6" ht="14.45" customHeight="1" x14ac:dyDescent="0.25">
      <c r="A93" s="318" t="s">
        <v>91</v>
      </c>
      <c r="B93" s="319"/>
      <c r="C93" s="319"/>
      <c r="D93" s="320"/>
      <c r="F93" s="139">
        <f>3726*('PPI Adj'!D6)</f>
        <v>4348.2420000000002</v>
      </c>
    </row>
    <row r="94" spans="1:6" ht="15" customHeight="1" thickBot="1" x14ac:dyDescent="0.3">
      <c r="A94" s="321" t="s">
        <v>92</v>
      </c>
      <c r="B94" s="322"/>
      <c r="C94" s="322"/>
      <c r="D94" s="323"/>
      <c r="F94" s="140">
        <f>-946*('PPI Adj'!D6)</f>
        <v>-1103.982</v>
      </c>
    </row>
    <row r="95" spans="1:6" ht="15.75" thickBot="1" x14ac:dyDescent="0.3">
      <c r="F95" s="121"/>
    </row>
    <row r="96" spans="1:6" ht="15.95" customHeight="1" thickBot="1" x14ac:dyDescent="0.3">
      <c r="A96" s="303" t="s">
        <v>166</v>
      </c>
      <c r="B96" s="304"/>
      <c r="C96" s="304"/>
      <c r="D96" s="305"/>
      <c r="E96" s="38"/>
      <c r="F96" s="113" t="s">
        <v>567</v>
      </c>
    </row>
    <row r="97" spans="1:6" ht="15" customHeight="1" thickBot="1" x14ac:dyDescent="0.3">
      <c r="A97" s="52" t="s">
        <v>33</v>
      </c>
      <c r="B97" s="24" t="s">
        <v>7</v>
      </c>
      <c r="C97" s="327" t="s">
        <v>165</v>
      </c>
      <c r="D97" s="328"/>
      <c r="E97" s="39"/>
      <c r="F97" s="97" t="s">
        <v>212</v>
      </c>
    </row>
    <row r="98" spans="1:6" ht="41.1" customHeight="1" thickBot="1" x14ac:dyDescent="0.3">
      <c r="A98" s="53" t="s">
        <v>83</v>
      </c>
      <c r="B98" s="23" t="s">
        <v>146</v>
      </c>
      <c r="C98" s="329"/>
      <c r="D98" s="330"/>
      <c r="F98" s="133"/>
    </row>
    <row r="99" spans="1:6" ht="27.75" customHeight="1" thickBot="1" x14ac:dyDescent="0.3">
      <c r="A99" s="50" t="s">
        <v>34</v>
      </c>
      <c r="B99" s="30" t="s">
        <v>107</v>
      </c>
      <c r="C99" s="310" t="s">
        <v>30</v>
      </c>
      <c r="D99" s="311"/>
      <c r="F99" s="133" t="s">
        <v>596</v>
      </c>
    </row>
    <row r="100" spans="1:6" ht="53.1" customHeight="1" thickBot="1" x14ac:dyDescent="0.3">
      <c r="A100" s="50" t="s">
        <v>35</v>
      </c>
      <c r="B100" s="30" t="s">
        <v>97</v>
      </c>
      <c r="C100" s="298"/>
      <c r="D100" s="299"/>
      <c r="F100" s="133"/>
    </row>
    <row r="101" spans="1:6" ht="27.95" customHeight="1" thickBot="1" x14ac:dyDescent="0.3">
      <c r="A101" s="50" t="s">
        <v>36</v>
      </c>
      <c r="B101" s="30" t="s">
        <v>84</v>
      </c>
      <c r="C101" s="310" t="s">
        <v>99</v>
      </c>
      <c r="D101" s="311"/>
      <c r="F101" s="133" t="s">
        <v>551</v>
      </c>
    </row>
    <row r="102" spans="1:6" ht="14.45" customHeight="1" x14ac:dyDescent="0.25">
      <c r="A102" s="284" t="s">
        <v>60</v>
      </c>
      <c r="B102" s="286" t="s">
        <v>133</v>
      </c>
      <c r="C102" s="288" t="s">
        <v>208</v>
      </c>
      <c r="D102" s="289"/>
      <c r="F102" s="134" t="s">
        <v>585</v>
      </c>
    </row>
    <row r="103" spans="1:6" ht="14.45" customHeight="1" x14ac:dyDescent="0.25">
      <c r="A103" s="292"/>
      <c r="B103" s="293"/>
      <c r="C103" s="294" t="s">
        <v>207</v>
      </c>
      <c r="D103" s="295"/>
      <c r="F103" s="127" t="s">
        <v>597</v>
      </c>
    </row>
    <row r="104" spans="1:6" ht="14.45" customHeight="1" x14ac:dyDescent="0.25">
      <c r="A104" s="292"/>
      <c r="B104" s="293"/>
      <c r="C104" s="294" t="s">
        <v>114</v>
      </c>
      <c r="D104" s="295"/>
      <c r="F104" s="127">
        <v>4355</v>
      </c>
    </row>
    <row r="105" spans="1:6" ht="24.95" customHeight="1" thickBot="1" x14ac:dyDescent="0.3">
      <c r="A105" s="285"/>
      <c r="B105" s="287"/>
      <c r="C105" s="282" t="s">
        <v>115</v>
      </c>
      <c r="D105" s="283"/>
      <c r="F105" s="135" t="s">
        <v>598</v>
      </c>
    </row>
    <row r="106" spans="1:6" x14ac:dyDescent="0.25">
      <c r="A106" s="284" t="s">
        <v>61</v>
      </c>
      <c r="B106" s="286" t="s">
        <v>211</v>
      </c>
      <c r="C106" s="288" t="s">
        <v>210</v>
      </c>
      <c r="D106" s="289"/>
      <c r="F106" s="134" t="s">
        <v>585</v>
      </c>
    </row>
    <row r="107" spans="1:6" x14ac:dyDescent="0.25">
      <c r="A107" s="292"/>
      <c r="B107" s="293"/>
      <c r="C107" s="294" t="s">
        <v>209</v>
      </c>
      <c r="D107" s="295"/>
      <c r="F107" s="126" t="s">
        <v>586</v>
      </c>
    </row>
    <row r="108" spans="1:6" ht="14.45" customHeight="1" x14ac:dyDescent="0.25">
      <c r="A108" s="292"/>
      <c r="B108" s="293"/>
      <c r="C108" s="294" t="s">
        <v>208</v>
      </c>
      <c r="D108" s="295"/>
      <c r="F108" s="126" t="s">
        <v>585</v>
      </c>
    </row>
    <row r="109" spans="1:6" ht="14.45" customHeight="1" x14ac:dyDescent="0.25">
      <c r="A109" s="292"/>
      <c r="B109" s="293"/>
      <c r="C109" s="294" t="s">
        <v>207</v>
      </c>
      <c r="D109" s="295"/>
      <c r="F109" s="127" t="s">
        <v>587</v>
      </c>
    </row>
    <row r="110" spans="1:6" ht="14.45" customHeight="1" x14ac:dyDescent="0.25">
      <c r="A110" s="292"/>
      <c r="B110" s="293"/>
      <c r="C110" s="294" t="s">
        <v>112</v>
      </c>
      <c r="D110" s="295"/>
      <c r="F110" s="127">
        <v>5532063</v>
      </c>
    </row>
    <row r="111" spans="1:6" ht="14.45" customHeight="1" x14ac:dyDescent="0.25">
      <c r="A111" s="292"/>
      <c r="B111" s="293"/>
      <c r="C111" s="294" t="s">
        <v>113</v>
      </c>
      <c r="D111" s="295"/>
      <c r="F111" s="126" t="s">
        <v>588</v>
      </c>
    </row>
    <row r="112" spans="1:6" ht="14.45" customHeight="1" x14ac:dyDescent="0.25">
      <c r="A112" s="292"/>
      <c r="B112" s="293"/>
      <c r="C112" s="294" t="s">
        <v>114</v>
      </c>
      <c r="D112" s="295"/>
      <c r="F112" s="126">
        <v>5532063</v>
      </c>
    </row>
    <row r="113" spans="1:6" ht="15" customHeight="1" thickBot="1" x14ac:dyDescent="0.3">
      <c r="A113" s="285"/>
      <c r="B113" s="287"/>
      <c r="C113" s="282" t="s">
        <v>115</v>
      </c>
      <c r="D113" s="283"/>
      <c r="F113" s="135" t="s">
        <v>588</v>
      </c>
    </row>
    <row r="114" spans="1:6" ht="143.44999999999999" customHeight="1" thickBot="1" x14ac:dyDescent="0.3">
      <c r="A114" s="54" t="s">
        <v>86</v>
      </c>
      <c r="B114" s="18" t="s">
        <v>143</v>
      </c>
      <c r="C114" s="310" t="s">
        <v>104</v>
      </c>
      <c r="D114" s="311"/>
      <c r="F114" s="134" t="s">
        <v>599</v>
      </c>
    </row>
    <row r="115" spans="1:6" ht="168.6" customHeight="1" thickBot="1" x14ac:dyDescent="0.3">
      <c r="A115" s="50" t="s">
        <v>85</v>
      </c>
      <c r="B115" s="14" t="s">
        <v>170</v>
      </c>
      <c r="C115" s="310" t="s">
        <v>104</v>
      </c>
      <c r="D115" s="311"/>
      <c r="F115" s="133" t="s">
        <v>599</v>
      </c>
    </row>
    <row r="116" spans="1:6" ht="29.1" customHeight="1" x14ac:dyDescent="0.25">
      <c r="A116" s="284" t="s">
        <v>13</v>
      </c>
      <c r="B116" s="286" t="s">
        <v>98</v>
      </c>
      <c r="C116" s="288" t="s">
        <v>30</v>
      </c>
      <c r="D116" s="289"/>
      <c r="F116" s="134" t="s">
        <v>600</v>
      </c>
    </row>
    <row r="117" spans="1:6" ht="24.6" customHeight="1" thickBot="1" x14ac:dyDescent="0.3">
      <c r="A117" s="285"/>
      <c r="B117" s="287"/>
      <c r="C117" s="282" t="s">
        <v>109</v>
      </c>
      <c r="D117" s="283"/>
      <c r="F117" s="135" t="s">
        <v>601</v>
      </c>
    </row>
    <row r="118" spans="1:6" ht="66" customHeight="1" thickBot="1" x14ac:dyDescent="0.3">
      <c r="A118" s="50" t="s">
        <v>37</v>
      </c>
      <c r="B118" s="30" t="s">
        <v>135</v>
      </c>
      <c r="C118" s="298"/>
      <c r="D118" s="299"/>
      <c r="F118" s="133" t="s">
        <v>602</v>
      </c>
    </row>
    <row r="119" spans="1:6" ht="40.5" customHeight="1" thickBot="1" x14ac:dyDescent="0.3">
      <c r="A119" s="50" t="s">
        <v>38</v>
      </c>
      <c r="B119" s="30" t="s">
        <v>87</v>
      </c>
      <c r="C119" s="298"/>
      <c r="D119" s="299"/>
      <c r="F119" s="133"/>
    </row>
    <row r="120" spans="1:6" ht="15.75" thickBot="1" x14ac:dyDescent="0.3">
      <c r="A120" s="50" t="s">
        <v>206</v>
      </c>
      <c r="B120" s="30" t="s">
        <v>205</v>
      </c>
      <c r="C120" s="310"/>
      <c r="D120" s="311"/>
      <c r="F120" s="133"/>
    </row>
    <row r="121" spans="1:6" ht="26.25" thickBot="1" x14ac:dyDescent="0.3">
      <c r="A121" s="50" t="s">
        <v>39</v>
      </c>
      <c r="B121" s="30" t="s">
        <v>106</v>
      </c>
      <c r="C121" s="310" t="s">
        <v>105</v>
      </c>
      <c r="D121" s="311"/>
      <c r="F121" s="133" t="s">
        <v>189</v>
      </c>
    </row>
    <row r="122" spans="1:6" ht="26.25" thickBot="1" x14ac:dyDescent="0.3">
      <c r="A122" s="50" t="s">
        <v>40</v>
      </c>
      <c r="B122" s="30" t="s">
        <v>137</v>
      </c>
      <c r="C122" s="310" t="s">
        <v>100</v>
      </c>
      <c r="D122" s="311"/>
      <c r="F122" s="135" t="s">
        <v>603</v>
      </c>
    </row>
    <row r="123" spans="1:6" ht="54.95" customHeight="1" thickBot="1" x14ac:dyDescent="0.3">
      <c r="A123" s="372" t="s">
        <v>14</v>
      </c>
      <c r="B123" s="374" t="s">
        <v>138</v>
      </c>
      <c r="C123" s="310" t="s">
        <v>139</v>
      </c>
      <c r="D123" s="311"/>
      <c r="F123" s="141" t="s">
        <v>604</v>
      </c>
    </row>
    <row r="124" spans="1:6" ht="54.95" customHeight="1" thickBot="1" x14ac:dyDescent="0.3">
      <c r="A124" s="373"/>
      <c r="B124" s="375"/>
      <c r="C124" s="310" t="s">
        <v>364</v>
      </c>
      <c r="D124" s="311"/>
      <c r="F124" s="142" t="s">
        <v>365</v>
      </c>
    </row>
    <row r="125" spans="1:6" ht="66" customHeight="1" thickBot="1" x14ac:dyDescent="0.3">
      <c r="A125" s="50" t="s">
        <v>91</v>
      </c>
      <c r="B125" s="30" t="s">
        <v>144</v>
      </c>
      <c r="C125" s="310" t="s">
        <v>100</v>
      </c>
      <c r="D125" s="311"/>
      <c r="F125" s="133" t="s">
        <v>605</v>
      </c>
    </row>
    <row r="126" spans="1:6" ht="68.45" customHeight="1" thickBot="1" x14ac:dyDescent="0.3">
      <c r="A126" s="50" t="s">
        <v>92</v>
      </c>
      <c r="B126" s="30" t="s">
        <v>145</v>
      </c>
      <c r="C126" s="298"/>
      <c r="D126" s="299"/>
      <c r="F126" s="133"/>
    </row>
  </sheetData>
  <sheetProtection algorithmName="SHA-512" hashValue="9CO1UOZXXYevIYWmApHV31WCjj4bE9Re03XWjvBVjuhlHAj4lXmhOPHnaZTY9/NemlADFZDBTpBrYxAe6DUmww==" saltValue="p00sHtqywYwEXi9BKWKcRg==" spinCount="100000" sheet="1" objects="1" scenarios="1"/>
  <mergeCells count="141">
    <mergeCell ref="B21:D21"/>
    <mergeCell ref="B22:D22"/>
    <mergeCell ref="A24:D24"/>
    <mergeCell ref="A3:D3"/>
    <mergeCell ref="A4:D4"/>
    <mergeCell ref="A6:D6"/>
    <mergeCell ref="B8:D8"/>
    <mergeCell ref="B9:D9"/>
    <mergeCell ref="B10:D10"/>
    <mergeCell ref="B11:D11"/>
    <mergeCell ref="B12:D12"/>
    <mergeCell ref="B13:D13"/>
    <mergeCell ref="B14:D14"/>
    <mergeCell ref="B15:D15"/>
    <mergeCell ref="B16:D16"/>
    <mergeCell ref="B17:D17"/>
    <mergeCell ref="A19:D19"/>
    <mergeCell ref="A35:A36"/>
    <mergeCell ref="B35:B36"/>
    <mergeCell ref="C35:D35"/>
    <mergeCell ref="C36:D36"/>
    <mergeCell ref="A37:A38"/>
    <mergeCell ref="B37:B38"/>
    <mergeCell ref="C37:D37"/>
    <mergeCell ref="C38:D38"/>
    <mergeCell ref="B123:B124"/>
    <mergeCell ref="A123:A124"/>
    <mergeCell ref="C124:D124"/>
    <mergeCell ref="A40:A42"/>
    <mergeCell ref="B40:B42"/>
    <mergeCell ref="C40:D40"/>
    <mergeCell ref="C39:D39"/>
    <mergeCell ref="C43:D43"/>
    <mergeCell ref="A44:A51"/>
    <mergeCell ref="B44:B51"/>
    <mergeCell ref="C44:D44"/>
    <mergeCell ref="C45:D45"/>
    <mergeCell ref="C46:D46"/>
    <mergeCell ref="C47:D47"/>
    <mergeCell ref="C48:D48"/>
    <mergeCell ref="C49:D49"/>
    <mergeCell ref="C25:D25"/>
    <mergeCell ref="C26:D26"/>
    <mergeCell ref="A27:A28"/>
    <mergeCell ref="B27:B28"/>
    <mergeCell ref="C27:D27"/>
    <mergeCell ref="C28:D28"/>
    <mergeCell ref="C29:D29"/>
    <mergeCell ref="A30:A34"/>
    <mergeCell ref="B30:B34"/>
    <mergeCell ref="C30:D30"/>
    <mergeCell ref="C31:D31"/>
    <mergeCell ref="C32:D32"/>
    <mergeCell ref="C33:D33"/>
    <mergeCell ref="C34:D34"/>
    <mergeCell ref="C50:D50"/>
    <mergeCell ref="C41:D41"/>
    <mergeCell ref="C42:D42"/>
    <mergeCell ref="C68:D68"/>
    <mergeCell ref="C69:D69"/>
    <mergeCell ref="C70:D70"/>
    <mergeCell ref="C51:D51"/>
    <mergeCell ref="A52:A54"/>
    <mergeCell ref="B52:B54"/>
    <mergeCell ref="C52:D52"/>
    <mergeCell ref="C53:D53"/>
    <mergeCell ref="C54:D54"/>
    <mergeCell ref="C55:D55"/>
    <mergeCell ref="A56:A58"/>
    <mergeCell ref="B56:B58"/>
    <mergeCell ref="C56:D56"/>
    <mergeCell ref="C57:D57"/>
    <mergeCell ref="C58:D58"/>
    <mergeCell ref="C59:D59"/>
    <mergeCell ref="C60:D60"/>
    <mergeCell ref="C61:D61"/>
    <mergeCell ref="C62:D62"/>
    <mergeCell ref="C63:D63"/>
    <mergeCell ref="C64:D64"/>
    <mergeCell ref="C65:D65"/>
    <mergeCell ref="C66:D66"/>
    <mergeCell ref="C67:D67"/>
    <mergeCell ref="A93:D93"/>
    <mergeCell ref="A94:D94"/>
    <mergeCell ref="A96:D96"/>
    <mergeCell ref="C71:D71"/>
    <mergeCell ref="C72:D72"/>
    <mergeCell ref="C73:D73"/>
    <mergeCell ref="C74:D74"/>
    <mergeCell ref="A76:D76"/>
    <mergeCell ref="A77:D77"/>
    <mergeCell ref="A78:D78"/>
    <mergeCell ref="A79:D79"/>
    <mergeCell ref="A80:D80"/>
    <mergeCell ref="A81:D81"/>
    <mergeCell ref="A82:D82"/>
    <mergeCell ref="A83:D83"/>
    <mergeCell ref="A84:D84"/>
    <mergeCell ref="A85:D85"/>
    <mergeCell ref="A86:D86"/>
    <mergeCell ref="A87:D87"/>
    <mergeCell ref="A88:D88"/>
    <mergeCell ref="A89:D89"/>
    <mergeCell ref="A90:D90"/>
    <mergeCell ref="A91:D91"/>
    <mergeCell ref="A92:D92"/>
    <mergeCell ref="C97:D97"/>
    <mergeCell ref="C98:D98"/>
    <mergeCell ref="C99:D99"/>
    <mergeCell ref="C100:D100"/>
    <mergeCell ref="C101:D101"/>
    <mergeCell ref="A102:A105"/>
    <mergeCell ref="B102:B105"/>
    <mergeCell ref="C102:D102"/>
    <mergeCell ref="C103:D103"/>
    <mergeCell ref="C104:D104"/>
    <mergeCell ref="C105:D105"/>
    <mergeCell ref="A106:A113"/>
    <mergeCell ref="B106:B113"/>
    <mergeCell ref="C106:D106"/>
    <mergeCell ref="C107:D107"/>
    <mergeCell ref="C108:D108"/>
    <mergeCell ref="C113:D113"/>
    <mergeCell ref="C114:D114"/>
    <mergeCell ref="C115:D115"/>
    <mergeCell ref="C109:D109"/>
    <mergeCell ref="C110:D110"/>
    <mergeCell ref="C111:D111"/>
    <mergeCell ref="C112:D112"/>
    <mergeCell ref="C125:D125"/>
    <mergeCell ref="C126:D126"/>
    <mergeCell ref="C118:D118"/>
    <mergeCell ref="C119:D119"/>
    <mergeCell ref="C120:D120"/>
    <mergeCell ref="C121:D121"/>
    <mergeCell ref="A116:A117"/>
    <mergeCell ref="B116:B117"/>
    <mergeCell ref="C116:D116"/>
    <mergeCell ref="C117:D117"/>
    <mergeCell ref="C122:D122"/>
    <mergeCell ref="C123:D123"/>
  </mergeCells>
  <conditionalFormatting sqref="C55 C61">
    <cfRule type="expression" dxfId="10" priority="27">
      <formula>#REF!="NO"</formula>
    </cfRule>
  </conditionalFormatting>
  <conditionalFormatting sqref="C124">
    <cfRule type="expression" dxfId="9" priority="9">
      <formula>#REF!="NO"</formula>
    </cfRule>
  </conditionalFormatting>
  <conditionalFormatting sqref="C40:D42">
    <cfRule type="expression" dxfId="8" priority="24">
      <formula>$F$2="NO"</formula>
    </cfRule>
  </conditionalFormatting>
  <conditionalFormatting sqref="C125:D126">
    <cfRule type="expression" dxfId="7" priority="10">
      <formula>#REF!="NO"</formula>
    </cfRule>
  </conditionalFormatting>
  <conditionalFormatting sqref="C26:E39">
    <cfRule type="expression" dxfId="6" priority="28">
      <formula>#REF!="NO"</formula>
    </cfRule>
  </conditionalFormatting>
  <conditionalFormatting sqref="C43:E74 F78:F94 C98:D123 F98:F123 F125:F126">
    <cfRule type="expression" dxfId="5" priority="2">
      <formula>#REF!="NO"</formula>
    </cfRule>
  </conditionalFormatting>
  <conditionalFormatting sqref="E40:E42">
    <cfRule type="expression" dxfId="4" priority="25">
      <formula>#REF!="NO"</formula>
    </cfRule>
  </conditionalFormatting>
  <conditionalFormatting sqref="F8">
    <cfRule type="expression" dxfId="3" priority="1">
      <formula>$F$2="NO"</formula>
    </cfRule>
  </conditionalFormatting>
  <conditionalFormatting sqref="F9:F17">
    <cfRule type="expression" dxfId="2" priority="33">
      <formula>#REF!="NO"</formula>
    </cfRule>
  </conditionalFormatting>
  <conditionalFormatting sqref="F21:F22">
    <cfRule type="expression" dxfId="1" priority="29">
      <formula>#REF!="NO"</formula>
    </cfRule>
  </conditionalFormatting>
  <conditionalFormatting sqref="F26:F74">
    <cfRule type="expression" dxfId="0" priority="15">
      <formula>#REF!="NO"</formula>
    </cfRule>
  </conditionalFormatting>
  <pageMargins left="0.7" right="0.7" top="0.75" bottom="0.75" header="0.3" footer="0.3"/>
  <pageSetup scale="83" orientation="landscape" r:id="rId1"/>
  <rowBreaks count="3" manualBreakCount="3">
    <brk id="74" max="16383" man="1"/>
    <brk id="101" max="16383" man="1"/>
    <brk id="115"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EAC60-F9E1-4D68-B06E-52DDC6B81E15}">
  <dimension ref="A1:H6"/>
  <sheetViews>
    <sheetView workbookViewId="0">
      <selection activeCell="B4" sqref="B4"/>
    </sheetView>
  </sheetViews>
  <sheetFormatPr defaultRowHeight="15" x14ac:dyDescent="0.25"/>
  <cols>
    <col min="2" max="2" width="12" bestFit="1" customWidth="1"/>
    <col min="5" max="8" width="9.140625" hidden="1" customWidth="1"/>
    <col min="9" max="9" width="9.140625" customWidth="1"/>
  </cols>
  <sheetData>
    <row r="1" spans="1:7" x14ac:dyDescent="0.25">
      <c r="A1" s="378" t="s">
        <v>609</v>
      </c>
      <c r="B1" s="378"/>
      <c r="C1" s="378"/>
      <c r="D1" s="378"/>
    </row>
    <row r="2" spans="1:7" x14ac:dyDescent="0.25">
      <c r="B2" s="59" t="s">
        <v>197</v>
      </c>
      <c r="C2" s="60"/>
      <c r="D2" s="61" t="s">
        <v>201</v>
      </c>
      <c r="E2" s="7"/>
      <c r="F2" s="7"/>
      <c r="G2" s="7"/>
    </row>
    <row r="3" spans="1:7" ht="30" x14ac:dyDescent="0.25">
      <c r="B3" s="62" t="s">
        <v>337</v>
      </c>
      <c r="C3" s="60"/>
      <c r="D3" s="68">
        <v>322.79199999999997</v>
      </c>
      <c r="E3" s="62" t="s">
        <v>198</v>
      </c>
      <c r="F3" s="60"/>
      <c r="G3" s="64">
        <v>243.1</v>
      </c>
    </row>
    <row r="4" spans="1:7" ht="30" x14ac:dyDescent="0.25">
      <c r="B4" s="65" t="s">
        <v>610</v>
      </c>
      <c r="C4" s="60"/>
      <c r="D4" s="94">
        <v>376.62</v>
      </c>
      <c r="E4" s="65" t="str">
        <f>B4</f>
        <v>10/2026 PPI</v>
      </c>
      <c r="F4" s="60"/>
      <c r="G4" s="63">
        <f>D4</f>
        <v>376.62</v>
      </c>
    </row>
    <row r="5" spans="1:7" ht="30" x14ac:dyDescent="0.25">
      <c r="B5" s="65" t="s">
        <v>199</v>
      </c>
      <c r="C5" s="60"/>
      <c r="D5" s="66">
        <f>D4/D3</f>
        <v>1.166757540459491</v>
      </c>
      <c r="E5" s="65" t="s">
        <v>199</v>
      </c>
      <c r="F5" s="60"/>
      <c r="G5" s="66">
        <f>G4/G3</f>
        <v>1.5492389962978199</v>
      </c>
    </row>
    <row r="6" spans="1:7" ht="30" x14ac:dyDescent="0.25">
      <c r="B6" s="67" t="s">
        <v>200</v>
      </c>
      <c r="C6" s="60"/>
      <c r="D6" s="68">
        <f>ROUND(D5,3)</f>
        <v>1.167</v>
      </c>
      <c r="E6" s="67" t="s">
        <v>200</v>
      </c>
      <c r="F6" s="60"/>
      <c r="G6" s="68">
        <f>ROUND(G5,3)</f>
        <v>1.5489999999999999</v>
      </c>
    </row>
  </sheetData>
  <mergeCells count="1">
    <mergeCell ref="A1:D1"/>
  </mergeCells>
  <hyperlinks>
    <hyperlink ref="D2" r:id="rId1" display="WPU141302" xr:uid="{06A7294F-DC0D-4593-956E-BD1900258A1C}"/>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24</vt:i4>
      </vt:variant>
    </vt:vector>
  </HeadingPairs>
  <TitlesOfParts>
    <vt:vector size="39" baseType="lpstr">
      <vt:lpstr>Attachment 1 - Summary</vt:lpstr>
      <vt:lpstr>A (Item 2-G)</vt:lpstr>
      <vt:lpstr>A (Item 3-G)</vt:lpstr>
      <vt:lpstr>A (Item 3-EV)</vt:lpstr>
      <vt:lpstr>A (Item 4-G)</vt:lpstr>
      <vt:lpstr>A (Item 4-EV)</vt:lpstr>
      <vt:lpstr>A (Item 5-G)</vt:lpstr>
      <vt:lpstr>C (Item 1-D)</vt:lpstr>
      <vt:lpstr>C (Item 2-D)</vt:lpstr>
      <vt:lpstr>C (Item 2-EV)</vt:lpstr>
      <vt:lpstr>C (Item 3-D)</vt:lpstr>
      <vt:lpstr>C (Item 4-D)</vt:lpstr>
      <vt:lpstr>C (Item 4-EV)</vt:lpstr>
      <vt:lpstr>D (Item 3-EV)</vt:lpstr>
      <vt:lpstr>PPI Adj</vt:lpstr>
      <vt:lpstr>'A (Item 3-EV)'!Print_Area</vt:lpstr>
      <vt:lpstr>'A (Item 3-G)'!Print_Area</vt:lpstr>
      <vt:lpstr>'A (Item 4-EV)'!Print_Area</vt:lpstr>
      <vt:lpstr>'A (Item 4-G)'!Print_Area</vt:lpstr>
      <vt:lpstr>'A (Item 5-G)'!Print_Area</vt:lpstr>
      <vt:lpstr>'Attachment 1 - Summary'!Print_Area</vt:lpstr>
      <vt:lpstr>'C (Item 1-D)'!Print_Area</vt:lpstr>
      <vt:lpstr>'C (Item 2-D)'!Print_Area</vt:lpstr>
      <vt:lpstr>'C (Item 3-D)'!Print_Area</vt:lpstr>
      <vt:lpstr>'C (Item 4-D)'!Print_Area</vt:lpstr>
      <vt:lpstr>'C (Item 4-EV)'!Print_Area</vt:lpstr>
      <vt:lpstr>'A (Item 2-G)'!Print_Titles</vt:lpstr>
      <vt:lpstr>'A (Item 3-EV)'!Print_Titles</vt:lpstr>
      <vt:lpstr>'A (Item 3-G)'!Print_Titles</vt:lpstr>
      <vt:lpstr>'A (Item 4-EV)'!Print_Titles</vt:lpstr>
      <vt:lpstr>'A (Item 4-G)'!Print_Titles</vt:lpstr>
      <vt:lpstr>'A (Item 5-G)'!Print_Titles</vt:lpstr>
      <vt:lpstr>'C (Item 1-D)'!Print_Titles</vt:lpstr>
      <vt:lpstr>'C (Item 2-D)'!Print_Titles</vt:lpstr>
      <vt:lpstr>'C (Item 2-EV)'!Print_Titles</vt:lpstr>
      <vt:lpstr>'C (Item 3-D)'!Print_Titles</vt:lpstr>
      <vt:lpstr>'C (Item 4-D)'!Print_Titles</vt:lpstr>
      <vt:lpstr>'C (Item 4-EV)'!Print_Titles</vt:lpstr>
      <vt:lpstr>'D (Item 3-EV)'!Print_Titles</vt:lpstr>
    </vt:vector>
  </TitlesOfParts>
  <Company>New York State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Jones, Matthew</dc:creator>
  <cp:lastModifiedBy>Li, Cheung (OGS)</cp:lastModifiedBy>
  <cp:lastPrinted>2016-09-22T15:24:18Z</cp:lastPrinted>
  <dcterms:created xsi:type="dcterms:W3CDTF">2015-03-13T14:08:01Z</dcterms:created>
  <dcterms:modified xsi:type="dcterms:W3CDTF">2026-10-15T13:57:32Z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_AdHocReviewCycleID">
    <vt:i4>518121192</vt:i4>
  </property>
  <property fmtid="{D5CDD505-2E9C-101B-9397-08002B2CF9AE}" pid="4" name="_EmailSubject">
    <vt:lpwstr>22945 Price Pages</vt:lpwstr>
  </property>
  <property fmtid="{D5CDD505-2E9C-101B-9397-08002B2CF9AE}" pid="5" name="_AuthorEmail">
    <vt:lpwstr>Edward.Sawicki@dot.ny.gov</vt:lpwstr>
  </property>
  <property fmtid="{D5CDD505-2E9C-101B-9397-08002B2CF9AE}" pid="6" name="_AuthorEmailDisplayName">
    <vt:lpwstr>Sawicki, Edward J (DOT)</vt:lpwstr>
  </property>
  <property fmtid="{D5CDD505-2E9C-101B-9397-08002B2CF9AE}" pid="7" name="_ReviewingToolsShownOnce">
    <vt:lpwstr/>
  </property>
</Properties>
</file>