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codeName="ThisWorkbook"/>
  <mc:AlternateContent xmlns:mc="http://schemas.openxmlformats.org/markup-compatibility/2006">
    <mc:Choice Requires="x15">
      <x15ac:absPath xmlns:x15ac="http://schemas.microsoft.com/office/spreadsheetml/2010/11/ac" url="V:\ProcurementServices\OPTeam09\Auto\40524-23254 Buses,School\PriceAdjustments\2026-10 PPI\"/>
    </mc:Choice>
  </mc:AlternateContent>
  <xr:revisionPtr revIDLastSave="0" documentId="13_ncr:1_{A071D994-A331-4A52-BADA-5F7FA733665D}" xr6:coauthVersionLast="47" xr6:coauthVersionMax="47" xr10:uidLastSave="{00000000-0000-0000-0000-000000000000}"/>
  <workbookProtection workbookAlgorithmName="SHA-512" workbookHashValue="qXhyEBHd9uzBQ2E1sW1pidS+dFxORhBxJFyqOPIjbZrzkTWUufz0+UMotqWoKP36c0111ZIchrjAiFLNZgnmZg==" workbookSaltValue="0PsJpwGIWyN079yUNhxj6A==" workbookSpinCount="100000" lockStructure="1"/>
  <bookViews>
    <workbookView xWindow="-120" yWindow="-120" windowWidth="29040" windowHeight="15720" tabRatio="909" xr2:uid="{00000000-000D-0000-FFFF-FFFF00000000}"/>
  </bookViews>
  <sheets>
    <sheet name="Attachment 1 - Summary" sheetId="93" r:id="rId1"/>
    <sheet name="A (Item 2-G)" sheetId="123" r:id="rId2"/>
    <sheet name="A (Item 3-G)" sheetId="124" r:id="rId3"/>
    <sheet name="A (Item 3-EV)" sheetId="143" r:id="rId4"/>
    <sheet name="A (Item 4-G)" sheetId="104" r:id="rId5"/>
    <sheet name="A (Item 4-EV)" sheetId="144" r:id="rId6"/>
    <sheet name="A (Item 5-G)" sheetId="125" r:id="rId7"/>
    <sheet name="C (Item 1-D)" sheetId="117" r:id="rId8"/>
    <sheet name="C (Item 2-D)" sheetId="118" r:id="rId9"/>
    <sheet name="C (Item 2-EV)" sheetId="145" r:id="rId10"/>
    <sheet name="C (Item 3-D)" sheetId="120" r:id="rId11"/>
    <sheet name="C (Item 4-D)" sheetId="121" r:id="rId12"/>
    <sheet name="C (Item 4-EV)" sheetId="122" r:id="rId13"/>
    <sheet name="D (Item 1-D)" sheetId="137" r:id="rId14"/>
    <sheet name="D (Item 2-D)" sheetId="138" r:id="rId15"/>
    <sheet name="D (Item 3-D)" sheetId="139" r:id="rId16"/>
    <sheet name="D (Item 4-D)" sheetId="140" r:id="rId17"/>
    <sheet name="D (Item 5-D)" sheetId="142" r:id="rId18"/>
    <sheet name="PPI Adj" sheetId="109" state="hidden" r:id="rId19"/>
  </sheets>
  <definedNames>
    <definedName name="_xlnm.Print_Area" localSheetId="3">'A (Item 3-EV)'!$A$3:$H$103</definedName>
    <definedName name="_xlnm.Print_Area" localSheetId="2">'A (Item 3-G)'!$A$1:$G$130</definedName>
    <definedName name="_xlnm.Print_Area" localSheetId="5">'A (Item 4-EV)'!$A$3:$J$103</definedName>
    <definedName name="_xlnm.Print_Area" localSheetId="4">'A (Item 4-G)'!$A$1:$G$130</definedName>
    <definedName name="_xlnm.Print_Area" localSheetId="6">'A (Item 5-G)'!$A$1:$G$130</definedName>
    <definedName name="_xlnm.Print_Area" localSheetId="0">'Attachment 1 - Summary'!$B$1:$G$15</definedName>
    <definedName name="_xlnm.Print_Area" localSheetId="7">'C (Item 1-D)'!$A$1:$F$135</definedName>
    <definedName name="_xlnm.Print_Area" localSheetId="8">'C (Item 2-D)'!$A$1:$F$135</definedName>
    <definedName name="_xlnm.Print_Area" localSheetId="9">'C (Item 2-EV)'!$A$3:$H$109</definedName>
    <definedName name="_xlnm.Print_Area" localSheetId="10">'C (Item 3-D)'!$A$1:$G$135</definedName>
    <definedName name="_xlnm.Print_Area" localSheetId="11">'C (Item 4-D)'!$A$1:$G$135</definedName>
    <definedName name="_xlnm.Print_Area" localSheetId="12">'C (Item 4-EV)'!$A$1:$F$127</definedName>
    <definedName name="_xlnm.Print_Area" localSheetId="13">'D (Item 1-D)'!$A$1:$G$134</definedName>
    <definedName name="_xlnm.Print_Area" localSheetId="14">'D (Item 2-D)'!$A$1:$G$134</definedName>
    <definedName name="_xlnm.Print_Area" localSheetId="15">'D (Item 3-D)'!$A$1:$G$134</definedName>
    <definedName name="_xlnm.Print_Area" localSheetId="16">'D (Item 4-D)'!$A$1:$G$134</definedName>
    <definedName name="_xlnm.Print_Area" localSheetId="17">'D (Item 5-D)'!$A$1:$H$134</definedName>
    <definedName name="_xlnm.Print_Titles" localSheetId="1">'A (Item 2-G)'!$1:$3</definedName>
    <definedName name="_xlnm.Print_Titles" localSheetId="3">'A (Item 3-EV)'!$3:$3</definedName>
    <definedName name="_xlnm.Print_Titles" localSheetId="2">'A (Item 3-G)'!$1:$3</definedName>
    <definedName name="_xlnm.Print_Titles" localSheetId="5">'A (Item 4-EV)'!$3:$3</definedName>
    <definedName name="_xlnm.Print_Titles" localSheetId="4">'A (Item 4-G)'!$1:$3</definedName>
    <definedName name="_xlnm.Print_Titles" localSheetId="6">'A (Item 5-G)'!$1:$3</definedName>
    <definedName name="_xlnm.Print_Titles" localSheetId="7">'C (Item 1-D)'!$1:$3</definedName>
    <definedName name="_xlnm.Print_Titles" localSheetId="8">'C (Item 2-D)'!$1:$3</definedName>
    <definedName name="_xlnm.Print_Titles" localSheetId="9">'C (Item 2-EV)'!$3:$3</definedName>
    <definedName name="_xlnm.Print_Titles" localSheetId="10">'C (Item 3-D)'!$1:$3</definedName>
    <definedName name="_xlnm.Print_Titles" localSheetId="11">'C (Item 4-D)'!$1:$3</definedName>
    <definedName name="_xlnm.Print_Titles" localSheetId="12">'C (Item 4-EV)'!$1:$3</definedName>
    <definedName name="_xlnm.Print_Titles" localSheetId="13">'D (Item 1-D)'!$1:$3</definedName>
    <definedName name="_xlnm.Print_Titles" localSheetId="14">'D (Item 2-D)'!$1:$3</definedName>
    <definedName name="_xlnm.Print_Titles" localSheetId="15">'D (Item 3-D)'!$1:$3</definedName>
    <definedName name="_xlnm.Print_Titles" localSheetId="16">'D (Item 4-D)'!$1:$3</definedName>
    <definedName name="_xlnm.Print_Titles" localSheetId="17">'D (Item 5-D)'!$1:$3</definedName>
    <definedName name="Z_FB9A4F81_F081_49F4_90CF_12DFB81B8806_.wvu.PrintArea" localSheetId="1" hidden="1">'A (Item 2-G)'!$A$3:$G$51</definedName>
    <definedName name="Z_FB9A4F81_F081_49F4_90CF_12DFB81B8806_.wvu.PrintArea" localSheetId="3" hidden="1">'A (Item 3-EV)'!$A$3:$H$52</definedName>
    <definedName name="Z_FB9A4F81_F081_49F4_90CF_12DFB81B8806_.wvu.PrintArea" localSheetId="2" hidden="1">'A (Item 3-G)'!$A$3:$F$51</definedName>
    <definedName name="Z_FB9A4F81_F081_49F4_90CF_12DFB81B8806_.wvu.PrintArea" localSheetId="5" hidden="1">'A (Item 4-EV)'!$A$3:$J$53</definedName>
    <definedName name="Z_FB9A4F81_F081_49F4_90CF_12DFB81B8806_.wvu.PrintArea" localSheetId="4" hidden="1">'A (Item 4-G)'!$A$3:$G$51</definedName>
    <definedName name="Z_FB9A4F81_F081_49F4_90CF_12DFB81B8806_.wvu.PrintArea" localSheetId="6" hidden="1">'A (Item 5-G)'!$A$3:$E$51</definedName>
    <definedName name="Z_FB9A4F81_F081_49F4_90CF_12DFB81B8806_.wvu.PrintArea" localSheetId="0" hidden="1">'Attachment 1 - Summary'!$B$1:$G$6</definedName>
    <definedName name="Z_FB9A4F81_F081_49F4_90CF_12DFB81B8806_.wvu.PrintArea" localSheetId="7" hidden="1">'C (Item 1-D)'!$A$3:$F$55</definedName>
    <definedName name="Z_FB9A4F81_F081_49F4_90CF_12DFB81B8806_.wvu.PrintArea" localSheetId="8" hidden="1">'C (Item 2-D)'!$A$3:$F$55</definedName>
    <definedName name="Z_FB9A4F81_F081_49F4_90CF_12DFB81B8806_.wvu.PrintArea" localSheetId="9" hidden="1">'C (Item 2-EV)'!$A$3:$H$58</definedName>
    <definedName name="Z_FB9A4F81_F081_49F4_90CF_12DFB81B8806_.wvu.PrintArea" localSheetId="10" hidden="1">'C (Item 3-D)'!$A$3:$F$55</definedName>
    <definedName name="Z_FB9A4F81_F081_49F4_90CF_12DFB81B8806_.wvu.PrintArea" localSheetId="11" hidden="1">'C (Item 4-D)'!$A$3:$G$55</definedName>
    <definedName name="Z_FB9A4F81_F081_49F4_90CF_12DFB81B8806_.wvu.PrintArea" localSheetId="13" hidden="1">'D (Item 1-D)'!$A$3:$G$54</definedName>
    <definedName name="Z_FB9A4F81_F081_49F4_90CF_12DFB81B8806_.wvu.PrintArea" localSheetId="14" hidden="1">'D (Item 2-D)'!$A$3:$G$54</definedName>
    <definedName name="Z_FB9A4F81_F081_49F4_90CF_12DFB81B8806_.wvu.PrintArea" localSheetId="15" hidden="1">'D (Item 3-D)'!$A$3:$G$54</definedName>
    <definedName name="Z_FB9A4F81_F081_49F4_90CF_12DFB81B8806_.wvu.PrintArea" localSheetId="16" hidden="1">'D (Item 4-D)'!$A$3:$G$54</definedName>
    <definedName name="Z_FB9A4F81_F081_49F4_90CF_12DFB81B8806_.wvu.PrintArea" localSheetId="17" hidden="1">'D (Item 5-D)'!$A$3:$H$54</definedName>
    <definedName name="Z_FB9A4F81_F081_49F4_90CF_12DFB81B8806_.wvu.PrintTitles" localSheetId="1" hidden="1">'A (Item 2-G)'!$3:$3</definedName>
    <definedName name="Z_FB9A4F81_F081_49F4_90CF_12DFB81B8806_.wvu.PrintTitles" localSheetId="3" hidden="1">'A (Item 3-EV)'!$3:$3</definedName>
    <definedName name="Z_FB9A4F81_F081_49F4_90CF_12DFB81B8806_.wvu.PrintTitles" localSheetId="2" hidden="1">'A (Item 3-G)'!$3:$3</definedName>
    <definedName name="Z_FB9A4F81_F081_49F4_90CF_12DFB81B8806_.wvu.PrintTitles" localSheetId="5" hidden="1">'A (Item 4-EV)'!$3:$3</definedName>
    <definedName name="Z_FB9A4F81_F081_49F4_90CF_12DFB81B8806_.wvu.PrintTitles" localSheetId="4" hidden="1">'A (Item 4-G)'!$3:$3</definedName>
    <definedName name="Z_FB9A4F81_F081_49F4_90CF_12DFB81B8806_.wvu.PrintTitles" localSheetId="6" hidden="1">'A (Item 5-G)'!$3:$3</definedName>
    <definedName name="Z_FB9A4F81_F081_49F4_90CF_12DFB81B8806_.wvu.PrintTitles" localSheetId="7" hidden="1">'C (Item 1-D)'!$3:$3</definedName>
    <definedName name="Z_FB9A4F81_F081_49F4_90CF_12DFB81B8806_.wvu.PrintTitles" localSheetId="8" hidden="1">'C (Item 2-D)'!$3:$3</definedName>
    <definedName name="Z_FB9A4F81_F081_49F4_90CF_12DFB81B8806_.wvu.PrintTitles" localSheetId="9" hidden="1">'C (Item 2-EV)'!$3:$3</definedName>
    <definedName name="Z_FB9A4F81_F081_49F4_90CF_12DFB81B8806_.wvu.PrintTitles" localSheetId="10" hidden="1">'C (Item 3-D)'!$3:$3</definedName>
    <definedName name="Z_FB9A4F81_F081_49F4_90CF_12DFB81B8806_.wvu.PrintTitles" localSheetId="11" hidden="1">'C (Item 4-D)'!$3:$3</definedName>
    <definedName name="Z_FB9A4F81_F081_49F4_90CF_12DFB81B8806_.wvu.PrintTitles" localSheetId="13" hidden="1">'D (Item 1-D)'!$3:$3</definedName>
    <definedName name="Z_FB9A4F81_F081_49F4_90CF_12DFB81B8806_.wvu.PrintTitles" localSheetId="14" hidden="1">'D (Item 2-D)'!$3:$3</definedName>
    <definedName name="Z_FB9A4F81_F081_49F4_90CF_12DFB81B8806_.wvu.PrintTitles" localSheetId="15" hidden="1">'D (Item 3-D)'!$3:$3</definedName>
    <definedName name="Z_FB9A4F81_F081_49F4_90CF_12DFB81B8806_.wvu.PrintTitles" localSheetId="16" hidden="1">'D (Item 4-D)'!$3:$3</definedName>
    <definedName name="Z_FB9A4F81_F081_49F4_90CF_12DFB81B8806_.wvu.PrintTitles" localSheetId="17" hidden="1">'D (Item 5-D)'!$3:$3</definedName>
    <definedName name="Z_FB9A4F81_F081_49F4_90CF_12DFB81B8806_.wvu.Rows" localSheetId="1" hidden="1">'A (Item 2-G)'!#REF!</definedName>
    <definedName name="Z_FB9A4F81_F081_49F4_90CF_12DFB81B8806_.wvu.Rows" localSheetId="3" hidden="1">'A (Item 3-EV)'!#REF!</definedName>
    <definedName name="Z_FB9A4F81_F081_49F4_90CF_12DFB81B8806_.wvu.Rows" localSheetId="2" hidden="1">'A (Item 3-G)'!#REF!</definedName>
    <definedName name="Z_FB9A4F81_F081_49F4_90CF_12DFB81B8806_.wvu.Rows" localSheetId="5" hidden="1">'A (Item 4-EV)'!#REF!</definedName>
    <definedName name="Z_FB9A4F81_F081_49F4_90CF_12DFB81B8806_.wvu.Rows" localSheetId="4" hidden="1">'A (Item 4-G)'!#REF!</definedName>
    <definedName name="Z_FB9A4F81_F081_49F4_90CF_12DFB81B8806_.wvu.Rows" localSheetId="6" hidden="1">'A (Item 5-G)'!#REF!</definedName>
    <definedName name="Z_FB9A4F81_F081_49F4_90CF_12DFB81B8806_.wvu.Rows" localSheetId="7" hidden="1">'C (Item 1-D)'!#REF!</definedName>
    <definedName name="Z_FB9A4F81_F081_49F4_90CF_12DFB81B8806_.wvu.Rows" localSheetId="8" hidden="1">'C (Item 2-D)'!#REF!</definedName>
    <definedName name="Z_FB9A4F81_F081_49F4_90CF_12DFB81B8806_.wvu.Rows" localSheetId="9" hidden="1">'C (Item 2-EV)'!#REF!</definedName>
    <definedName name="Z_FB9A4F81_F081_49F4_90CF_12DFB81B8806_.wvu.Rows" localSheetId="10" hidden="1">'C (Item 3-D)'!#REF!</definedName>
    <definedName name="Z_FB9A4F81_F081_49F4_90CF_12DFB81B8806_.wvu.Rows" localSheetId="11" hidden="1">'C (Item 4-D)'!#REF!</definedName>
    <definedName name="Z_FB9A4F81_F081_49F4_90CF_12DFB81B8806_.wvu.Rows" localSheetId="13" hidden="1">'D (Item 1-D)'!#REF!</definedName>
    <definedName name="Z_FB9A4F81_F081_49F4_90CF_12DFB81B8806_.wvu.Rows" localSheetId="14" hidden="1">'D (Item 2-D)'!#REF!</definedName>
    <definedName name="Z_FB9A4F81_F081_49F4_90CF_12DFB81B8806_.wvu.Rows" localSheetId="15" hidden="1">'D (Item 3-D)'!#REF!</definedName>
    <definedName name="Z_FB9A4F81_F081_49F4_90CF_12DFB81B8806_.wvu.Rows" localSheetId="16" hidden="1">'D (Item 4-D)'!#REF!</definedName>
    <definedName name="Z_FB9A4F81_F081_49F4_90CF_12DFB81B8806_.wvu.Rows" localSheetId="17" hidden="1">'D (Item 5-D)'!#REF!</definedName>
  </definedNames>
  <calcPr calcId="191029"/>
  <customWorkbookViews>
    <customWorkbookView name="Jones, Matthew - Personal View" guid="{FB9A4F81-F081-49F4-90CF-12DFB81B8806}" mergeInterval="0" personalView="1" maximized="1" xWindow="-8" yWindow="-8" windowWidth="1296" windowHeight="1000" tabRatio="830" activeSheetId="7"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 i="109" l="1"/>
  <c r="F4" i="109"/>
  <c r="A2" i="143" l="1"/>
  <c r="A1" i="144"/>
  <c r="A2" i="144"/>
  <c r="A1" i="145"/>
  <c r="A2" i="145"/>
  <c r="A1" i="143"/>
  <c r="A1" i="142" l="1"/>
  <c r="A1" i="140"/>
  <c r="A1" i="139"/>
  <c r="A1" i="138"/>
  <c r="A1" i="137"/>
  <c r="A1" i="122"/>
  <c r="A1" i="121"/>
  <c r="A1" i="120"/>
  <c r="A1" i="118"/>
  <c r="A1" i="117"/>
  <c r="A1" i="125"/>
  <c r="A1" i="104"/>
  <c r="A1" i="124"/>
  <c r="H5" i="109" l="1"/>
  <c r="H6" i="109" s="1"/>
  <c r="D5" i="109"/>
  <c r="D6" i="109" s="1"/>
  <c r="F21" i="120" s="1"/>
  <c r="G110" i="143" l="1"/>
  <c r="G97" i="143"/>
  <c r="G78" i="143"/>
  <c r="G102" i="144"/>
  <c r="G92" i="144"/>
  <c r="F23" i="145"/>
  <c r="G108" i="145"/>
  <c r="G90" i="145"/>
  <c r="G109" i="143"/>
  <c r="G96" i="143"/>
  <c r="G77" i="143"/>
  <c r="G100" i="144"/>
  <c r="G84" i="144"/>
  <c r="G106" i="145"/>
  <c r="G86" i="145"/>
  <c r="G108" i="143"/>
  <c r="G95" i="143"/>
  <c r="G76" i="143"/>
  <c r="G99" i="144"/>
  <c r="G80" i="144"/>
  <c r="G105" i="145"/>
  <c r="G85" i="145"/>
  <c r="G103" i="143"/>
  <c r="G93" i="143"/>
  <c r="F23" i="143"/>
  <c r="G98" i="144"/>
  <c r="G79" i="144"/>
  <c r="G104" i="145"/>
  <c r="G84" i="145"/>
  <c r="G102" i="143"/>
  <c r="G92" i="143"/>
  <c r="G110" i="144"/>
  <c r="G97" i="144"/>
  <c r="G78" i="144"/>
  <c r="G102" i="145"/>
  <c r="G83" i="145"/>
  <c r="G84" i="143"/>
  <c r="G109" i="144"/>
  <c r="G96" i="144"/>
  <c r="G77" i="144"/>
  <c r="G101" i="145"/>
  <c r="G82" i="145"/>
  <c r="G99" i="143"/>
  <c r="G108" i="144"/>
  <c r="G95" i="144"/>
  <c r="G76" i="144"/>
  <c r="G114" i="145"/>
  <c r="G99" i="145"/>
  <c r="G98" i="143"/>
  <c r="G79" i="143"/>
  <c r="G103" i="144"/>
  <c r="G93" i="144"/>
  <c r="F23" i="144"/>
  <c r="G109" i="145"/>
  <c r="G98" i="145"/>
  <c r="G80" i="143"/>
  <c r="G100" i="143"/>
  <c r="A2" i="120"/>
  <c r="A2" i="123"/>
  <c r="A2" i="124"/>
  <c r="A2" i="142" l="1"/>
  <c r="A2" i="140" l="1"/>
  <c r="A2" i="139"/>
  <c r="A2" i="138"/>
  <c r="A2" i="137"/>
  <c r="A2" i="122" l="1"/>
  <c r="A2" i="121"/>
  <c r="A2" i="118"/>
  <c r="A2" i="117"/>
  <c r="A2" i="125"/>
  <c r="L4" i="109" l="1"/>
  <c r="L5" i="109" s="1"/>
  <c r="L6" i="109" s="1"/>
  <c r="J4" i="109"/>
  <c r="F98" i="121" l="1"/>
  <c r="G96" i="142"/>
  <c r="G87" i="142"/>
  <c r="F96" i="142"/>
  <c r="F87" i="142"/>
  <c r="F93" i="140"/>
  <c r="F92" i="140"/>
  <c r="F83" i="140"/>
  <c r="F100" i="139"/>
  <c r="F89" i="139"/>
  <c r="F100" i="138"/>
  <c r="F91" i="138"/>
  <c r="F21" i="138"/>
  <c r="F90" i="140"/>
  <c r="F87" i="139"/>
  <c r="G98" i="142"/>
  <c r="G95" i="142"/>
  <c r="G86" i="142"/>
  <c r="F95" i="142"/>
  <c r="F86" i="142"/>
  <c r="F85" i="140"/>
  <c r="F91" i="140"/>
  <c r="F21" i="140"/>
  <c r="F99" i="139"/>
  <c r="F88" i="139"/>
  <c r="F99" i="138"/>
  <c r="F90" i="138"/>
  <c r="G93" i="142"/>
  <c r="G85" i="142"/>
  <c r="F93" i="142"/>
  <c r="F85" i="142"/>
  <c r="F101" i="140"/>
  <c r="F98" i="139"/>
  <c r="F97" i="139"/>
  <c r="F89" i="138"/>
  <c r="F98" i="142"/>
  <c r="F98" i="138"/>
  <c r="G83" i="142"/>
  <c r="G92" i="142"/>
  <c r="G84" i="142"/>
  <c r="F92" i="142"/>
  <c r="F84" i="142"/>
  <c r="F100" i="140"/>
  <c r="F89" i="140"/>
  <c r="F93" i="139"/>
  <c r="F96" i="139"/>
  <c r="F86" i="139"/>
  <c r="F97" i="138"/>
  <c r="F88" i="138"/>
  <c r="G90" i="142"/>
  <c r="G21" i="142"/>
  <c r="F87" i="140"/>
  <c r="F92" i="139"/>
  <c r="F86" i="138"/>
  <c r="F98" i="137"/>
  <c r="F99" i="142"/>
  <c r="F96" i="140"/>
  <c r="F91" i="139"/>
  <c r="F93" i="138"/>
  <c r="G97" i="142"/>
  <c r="F97" i="142"/>
  <c r="F98" i="140"/>
  <c r="F95" i="140"/>
  <c r="F101" i="137"/>
  <c r="F85" i="138"/>
  <c r="G101" i="142"/>
  <c r="G91" i="142"/>
  <c r="F101" i="142"/>
  <c r="F91" i="142"/>
  <c r="F83" i="142"/>
  <c r="F99" i="140"/>
  <c r="F88" i="140"/>
  <c r="F85" i="139"/>
  <c r="F95" i="139"/>
  <c r="F84" i="139"/>
  <c r="F96" i="138"/>
  <c r="F87" i="138"/>
  <c r="G100" i="142"/>
  <c r="F100" i="142"/>
  <c r="F90" i="142"/>
  <c r="F97" i="140"/>
  <c r="F101" i="139"/>
  <c r="F83" i="139"/>
  <c r="F95" i="138"/>
  <c r="G99" i="142"/>
  <c r="G89" i="142"/>
  <c r="F89" i="142"/>
  <c r="F21" i="142"/>
  <c r="F86" i="140"/>
  <c r="F101" i="138"/>
  <c r="F21" i="139"/>
  <c r="F84" i="138"/>
  <c r="G98" i="121"/>
  <c r="F88" i="142"/>
  <c r="F84" i="140"/>
  <c r="F90" i="139"/>
  <c r="F83" i="138"/>
  <c r="G88" i="142"/>
  <c r="F92" i="138"/>
  <c r="F100" i="137"/>
  <c r="F99" i="137"/>
  <c r="F96" i="137"/>
  <c r="F95" i="137"/>
  <c r="F93" i="137"/>
  <c r="F92" i="137"/>
  <c r="F91" i="137"/>
  <c r="F90" i="137"/>
  <c r="F97" i="137"/>
  <c r="F89" i="137"/>
  <c r="F95" i="122"/>
  <c r="F85" i="122"/>
  <c r="G102" i="121"/>
  <c r="G97" i="121"/>
  <c r="G92" i="121"/>
  <c r="G88" i="121"/>
  <c r="G84" i="121"/>
  <c r="F81" i="122"/>
  <c r="G86" i="121"/>
  <c r="F80" i="122"/>
  <c r="F21" i="122"/>
  <c r="F88" i="137"/>
  <c r="F94" i="122"/>
  <c r="F84" i="122"/>
  <c r="F102" i="121"/>
  <c r="F97" i="121"/>
  <c r="F92" i="121"/>
  <c r="F88" i="121"/>
  <c r="F84" i="121"/>
  <c r="G100" i="121"/>
  <c r="G94" i="121"/>
  <c r="F84" i="137"/>
  <c r="F94" i="121"/>
  <c r="F85" i="121"/>
  <c r="F87" i="137"/>
  <c r="F93" i="122"/>
  <c r="F83" i="122"/>
  <c r="G101" i="121"/>
  <c r="G96" i="121"/>
  <c r="G91" i="121"/>
  <c r="G87" i="121"/>
  <c r="G21" i="121"/>
  <c r="F91" i="122"/>
  <c r="G90" i="121"/>
  <c r="F100" i="121"/>
  <c r="F86" i="121"/>
  <c r="F93" i="121"/>
  <c r="F86" i="137"/>
  <c r="F92" i="122"/>
  <c r="F82" i="122"/>
  <c r="F101" i="121"/>
  <c r="F96" i="121"/>
  <c r="F91" i="121"/>
  <c r="F87" i="121"/>
  <c r="F21" i="121"/>
  <c r="F85" i="137"/>
  <c r="F89" i="122"/>
  <c r="F90" i="121"/>
  <c r="F89" i="121"/>
  <c r="F83" i="137"/>
  <c r="F87" i="122"/>
  <c r="F79" i="122"/>
  <c r="G99" i="121"/>
  <c r="G93" i="121"/>
  <c r="G89" i="121"/>
  <c r="G85" i="121"/>
  <c r="F21" i="137"/>
  <c r="F86" i="122"/>
  <c r="F99" i="121"/>
  <c r="G99" i="120"/>
  <c r="G97" i="120"/>
  <c r="G87" i="120"/>
  <c r="F98" i="120"/>
  <c r="F88" i="120"/>
  <c r="F91" i="118"/>
  <c r="F93" i="118"/>
  <c r="F84" i="118"/>
  <c r="F96" i="117"/>
  <c r="F87" i="117"/>
  <c r="F94" i="125"/>
  <c r="F84" i="125"/>
  <c r="F21" i="125"/>
  <c r="F89" i="104"/>
  <c r="F80" i="104"/>
  <c r="F94" i="124"/>
  <c r="F82" i="124"/>
  <c r="F22" i="124"/>
  <c r="F88" i="123"/>
  <c r="F79" i="123"/>
  <c r="F21" i="123"/>
  <c r="F92" i="120"/>
  <c r="F87" i="118"/>
  <c r="F79" i="125"/>
  <c r="F88" i="124"/>
  <c r="F82" i="123"/>
  <c r="F95" i="125"/>
  <c r="F99" i="120"/>
  <c r="G96" i="120"/>
  <c r="G86" i="120"/>
  <c r="F97" i="120"/>
  <c r="F87" i="120"/>
  <c r="F102" i="118"/>
  <c r="F92" i="118"/>
  <c r="F21" i="118"/>
  <c r="F94" i="117"/>
  <c r="F86" i="117"/>
  <c r="F93" i="125"/>
  <c r="F83" i="125"/>
  <c r="F22" i="125"/>
  <c r="F88" i="104"/>
  <c r="F79" i="104"/>
  <c r="F93" i="124"/>
  <c r="F86" i="124"/>
  <c r="F21" i="124"/>
  <c r="F87" i="123"/>
  <c r="F78" i="123"/>
  <c r="F77" i="123"/>
  <c r="F102" i="120"/>
  <c r="F88" i="125"/>
  <c r="F79" i="124"/>
  <c r="F85" i="118"/>
  <c r="F95" i="124"/>
  <c r="G91" i="120"/>
  <c r="G94" i="120"/>
  <c r="G85" i="120"/>
  <c r="F96" i="120"/>
  <c r="F86" i="120"/>
  <c r="F101" i="118"/>
  <c r="F90" i="118"/>
  <c r="F102" i="117"/>
  <c r="F93" i="117"/>
  <c r="F85" i="117"/>
  <c r="F92" i="125"/>
  <c r="F82" i="125"/>
  <c r="F96" i="104"/>
  <c r="F87" i="104"/>
  <c r="F78" i="104"/>
  <c r="F92" i="124"/>
  <c r="F84" i="124"/>
  <c r="F95" i="123"/>
  <c r="F86" i="123"/>
  <c r="G101" i="120"/>
  <c r="F90" i="117"/>
  <c r="F83" i="104"/>
  <c r="F94" i="118"/>
  <c r="F77" i="125"/>
  <c r="F89" i="123"/>
  <c r="F91" i="120"/>
  <c r="G93" i="120"/>
  <c r="F94" i="120"/>
  <c r="F85" i="120"/>
  <c r="F100" i="118"/>
  <c r="F89" i="118"/>
  <c r="F101" i="117"/>
  <c r="F92" i="117"/>
  <c r="F84" i="117"/>
  <c r="F90" i="125"/>
  <c r="F81" i="125"/>
  <c r="F95" i="104"/>
  <c r="F86" i="104"/>
  <c r="F77" i="104"/>
  <c r="F90" i="124"/>
  <c r="F81" i="124"/>
  <c r="F94" i="123"/>
  <c r="F84" i="123"/>
  <c r="F22" i="123"/>
  <c r="G90" i="120"/>
  <c r="F99" i="117"/>
  <c r="F93" i="104"/>
  <c r="F92" i="123"/>
  <c r="F88" i="117"/>
  <c r="F90" i="104"/>
  <c r="F77" i="124"/>
  <c r="G102" i="120"/>
  <c r="G92" i="120"/>
  <c r="G84" i="120"/>
  <c r="F93" i="120"/>
  <c r="F84" i="120"/>
  <c r="F99" i="118"/>
  <c r="F88" i="118"/>
  <c r="F100" i="117"/>
  <c r="F91" i="117"/>
  <c r="F21" i="117"/>
  <c r="F89" i="125"/>
  <c r="F80" i="125"/>
  <c r="F94" i="104"/>
  <c r="F84" i="104"/>
  <c r="F22" i="104"/>
  <c r="F89" i="124"/>
  <c r="F80" i="124"/>
  <c r="F93" i="123"/>
  <c r="F83" i="123"/>
  <c r="G21" i="120"/>
  <c r="F98" i="118"/>
  <c r="F85" i="125"/>
  <c r="F21" i="104"/>
  <c r="F96" i="118"/>
  <c r="F83" i="124"/>
  <c r="G100" i="120"/>
  <c r="G89" i="120"/>
  <c r="F101" i="120"/>
  <c r="F90" i="120"/>
  <c r="F97" i="118"/>
  <c r="F86" i="118"/>
  <c r="F98" i="117"/>
  <c r="F89" i="117"/>
  <c r="F96" i="125"/>
  <c r="F87" i="125"/>
  <c r="F78" i="125"/>
  <c r="F92" i="104"/>
  <c r="F82" i="104"/>
  <c r="F96" i="124"/>
  <c r="F87" i="124"/>
  <c r="F78" i="124"/>
  <c r="F91" i="123"/>
  <c r="F81" i="123"/>
  <c r="G98" i="120"/>
  <c r="G88" i="120"/>
  <c r="F100" i="120"/>
  <c r="F89" i="120"/>
  <c r="F97" i="117"/>
  <c r="F86" i="125"/>
  <c r="F81" i="104"/>
  <c r="F80" i="123"/>
  <c r="A2" i="104"/>
</calcChain>
</file>

<file path=xl/sharedStrings.xml><?xml version="1.0" encoding="utf-8"?>
<sst xmlns="http://schemas.openxmlformats.org/spreadsheetml/2006/main" count="4830" uniqueCount="617">
  <si>
    <t>Chassis Make</t>
  </si>
  <si>
    <t>Chassis Model</t>
  </si>
  <si>
    <t>Chassis Model Code</t>
  </si>
  <si>
    <t>Body Make</t>
  </si>
  <si>
    <t>Body Model</t>
  </si>
  <si>
    <t>Body Model Code</t>
  </si>
  <si>
    <t>Category</t>
  </si>
  <si>
    <t>Specification</t>
  </si>
  <si>
    <t>General</t>
  </si>
  <si>
    <t>Engine</t>
  </si>
  <si>
    <t>Transmission</t>
  </si>
  <si>
    <t xml:space="preserve">Front Axle </t>
  </si>
  <si>
    <t>Tires</t>
  </si>
  <si>
    <t>Wheelchair Lift</t>
  </si>
  <si>
    <t>Air Conditioning</t>
  </si>
  <si>
    <t>Name and description of worksheets included in this workbook:</t>
  </si>
  <si>
    <t>Rear Axle</t>
  </si>
  <si>
    <t>Gasoline</t>
  </si>
  <si>
    <t>Pupil Capacity</t>
  </si>
  <si>
    <t>Diesel</t>
  </si>
  <si>
    <t>Additional Body Section NYS Contract Price</t>
  </si>
  <si>
    <t>Capacity</t>
  </si>
  <si>
    <t>Front axle capacity [lbs]:</t>
  </si>
  <si>
    <t>Rear axle capacity [lbs]:</t>
  </si>
  <si>
    <t>Gross Axle Weight Rating (GAWR) [lbs]:</t>
  </si>
  <si>
    <t>Alternator</t>
  </si>
  <si>
    <t>Battery(ies)</t>
  </si>
  <si>
    <t>Door (Entrance)</t>
  </si>
  <si>
    <t xml:space="preserve">Fuel Tank(s) </t>
  </si>
  <si>
    <t xml:space="preserve">Seatbelt (ambulatory) </t>
  </si>
  <si>
    <t>Make &amp; Model:</t>
  </si>
  <si>
    <t>Stop Arm(s) (Power)</t>
  </si>
  <si>
    <t>8 Lamp Warning System (School Bus)</t>
  </si>
  <si>
    <t>Optional Equipment</t>
  </si>
  <si>
    <t>Child Presence Check / Alarm</t>
  </si>
  <si>
    <t>Glass (Tinted)</t>
  </si>
  <si>
    <t>Rear Axle, "No Spin"</t>
  </si>
  <si>
    <t>Roof Ventilator / Emergency Exit</t>
  </si>
  <si>
    <t>White Roof</t>
  </si>
  <si>
    <t>Crossing Arm</t>
  </si>
  <si>
    <t>Vandal Lock</t>
  </si>
  <si>
    <t>Additional Options NYS Discount</t>
  </si>
  <si>
    <t>Base Item NYS Contract Price</t>
  </si>
  <si>
    <t>Delivery Time</t>
  </si>
  <si>
    <t>Electrical</t>
  </si>
  <si>
    <t>Units shall have headlights turned on when the engine is running.</t>
  </si>
  <si>
    <t>Door (Rear Emergency Exit)</t>
  </si>
  <si>
    <t>Manufacturer's standard insulated floor design shall be provided throughout the School Bus.</t>
  </si>
  <si>
    <t>Floor</t>
  </si>
  <si>
    <t>Heaters</t>
  </si>
  <si>
    <t>Horns</t>
  </si>
  <si>
    <t>Mirrors</t>
  </si>
  <si>
    <t>Steering</t>
  </si>
  <si>
    <t>Power steering</t>
  </si>
  <si>
    <t>Seating</t>
  </si>
  <si>
    <t>"School Bus" Signs</t>
  </si>
  <si>
    <t>Exterior Reflective Markings</t>
  </si>
  <si>
    <t xml:space="preserve">Length (bumper to bumper) [inches]: </t>
  </si>
  <si>
    <t>Wheelbase [inches]:</t>
  </si>
  <si>
    <t>Dimensions</t>
  </si>
  <si>
    <t>Tires (Snow)</t>
  </si>
  <si>
    <t>Tires (All-Season)</t>
  </si>
  <si>
    <t>Automatic transmission</t>
  </si>
  <si>
    <t>Driver's compartment dome light shall be so directed to provide illumination for the bus driver and be controlled by an independent switch.</t>
  </si>
  <si>
    <t>All exterior lamps, except headlamps, shall be Light Emitting Diode (LED) design that meet applicable SAE standards.</t>
  </si>
  <si>
    <t xml:space="preserve">An electrical horn(s) shall be provided that meets SAE standard J377. </t>
  </si>
  <si>
    <t xml:space="preserve">Minimum 24 </t>
  </si>
  <si>
    <t>Number of rows:</t>
  </si>
  <si>
    <t>Number of Pupils:</t>
  </si>
  <si>
    <t>Body width (inside) [inches]:</t>
  </si>
  <si>
    <t xml:space="preserve">Body headroom (standard) [inches]: </t>
  </si>
  <si>
    <t>Option Code, Make &amp; Model:</t>
  </si>
  <si>
    <t xml:space="preserve">Option Code, Make &amp; Model:
</t>
  </si>
  <si>
    <t xml:space="preserve">Capacity [amps]:
</t>
  </si>
  <si>
    <t>Model or Option Code:</t>
  </si>
  <si>
    <t>Number of batteries:</t>
  </si>
  <si>
    <t>CCA of each battery:</t>
  </si>
  <si>
    <t>Type and clear width [inches]:</t>
  </si>
  <si>
    <t>Capacity [gallons]:</t>
  </si>
  <si>
    <t>The exterior driving mirrors shall be the heated defrosting type with their own switch and pilot light.  Crossview mirrors shall be provided at front corners of each bus.</t>
  </si>
  <si>
    <t xml:space="preserve">Manufacturer's standard or optional seat spacing that meets or exceeds the NYCRR minimum requirement for the respective class of School Bus with the minimum Pupil capacity stated above. </t>
  </si>
  <si>
    <t>Shall include lower glass.</t>
  </si>
  <si>
    <t>Capacity - Add One (1) Row of Seating</t>
  </si>
  <si>
    <t>Capacity - Delete One (1) Row of Seating</t>
  </si>
  <si>
    <t>The manufacturer’s standard device (e.g., power-lock, limited-slip, no-spin, positive-traction).</t>
  </si>
  <si>
    <t>Floor (Flat) With Recessed Wheelchair Track Throughout Entire Body</t>
  </si>
  <si>
    <t xml:space="preserve">Floor With Recessed Wheelchair Restraint Track For One Wheelchair Station. </t>
  </si>
  <si>
    <t>The School Bus Body shall be provided with a factory-painted white roof in lieu of school bus yellow.  White shall NOT extend below the bottom of the marker lights.</t>
  </si>
  <si>
    <t>Auxiliary Engine Coolant Heater</t>
  </si>
  <si>
    <t>Minimum four (4) rows for sixteen (16) Pupils</t>
  </si>
  <si>
    <t>Additional Passenger Area Heater (Under Passenger Seat)</t>
  </si>
  <si>
    <t>School Bus Safety Camera</t>
  </si>
  <si>
    <t>Multifunction School Activity Bus</t>
  </si>
  <si>
    <t xml:space="preserve">Alternator shall be of the integrally-rectified type, with an SAE continuous ampere output rating that is capable of at least powering all electrical devices energized simultaneously and an additional output of ten (10) or more amperes; and shall be driven by a single serpentine belt (or equivalent) or gear driven, and shall have full-transistor type voltage regulators.  Wiring harness sizes shall be not less than the alternator manufacturer's recommendations. </t>
  </si>
  <si>
    <t xml:space="preserve">Shall be entrance-door activated, electric or air-positioning type, and be provided streetside on all School Buses.  It shall be compliant with FMVSS (49 CFR 571.131). </t>
  </si>
  <si>
    <t>Both front and rear shall comply with Article 9, Section 375.20 of the New York State Vehicle and Traffic Law.</t>
  </si>
  <si>
    <t>Shall be compliant with SAE J887.</t>
  </si>
  <si>
    <t>The School Bus windshield and Body windows shall have the manufacturer's typical options that provide tinted glass windows throughout the vehicle and shall comply with Article 9, Section 375.12a. of the New York State Vehicle and Traffic Law.</t>
  </si>
  <si>
    <t>Electric hydraulic type compliant with FMVSS (49 CFR 571.403 and 404). A safety switch to prevent operation of lift unless door(s) are opened, and a manual override system in case of power failure, shall be provided. The lift electric system shall be protected with an in-line fuse.</t>
  </si>
  <si>
    <t>Type of device:</t>
  </si>
  <si>
    <t xml:space="preserve">Make &amp; Model: </t>
  </si>
  <si>
    <t>Pick Up Allowance</t>
  </si>
  <si>
    <t>LOT A (Item 2-G)</t>
  </si>
  <si>
    <r>
      <t xml:space="preserve">Minimum passenger compartment heating shall meet the requirements of NYCRR, Title 17, Part 720.4(I) </t>
    </r>
    <r>
      <rPr>
        <i/>
        <sz val="10"/>
        <rFont val="Arial"/>
        <family val="2"/>
      </rPr>
      <t>Heaters</t>
    </r>
    <r>
      <rPr>
        <sz val="10"/>
        <rFont val="Arial"/>
        <family val="2"/>
      </rPr>
      <t>, or the latest revision thereof.</t>
    </r>
  </si>
  <si>
    <t>Type and style:</t>
  </si>
  <si>
    <t>Type:</t>
  </si>
  <si>
    <t>Shall be power operated by passenger door operating control - electric vacuum, or air powered.</t>
  </si>
  <si>
    <t>Shall be the Child Check-mate System Model EP 2, or Compatible Equivalent.</t>
  </si>
  <si>
    <t>Dual Rear Wheel (DRW)</t>
  </si>
  <si>
    <t>Lift capacity:</t>
  </si>
  <si>
    <t>BTU/H:</t>
  </si>
  <si>
    <t>Cowl to rear axle length [inches]:</t>
  </si>
  <si>
    <t>Front Tires Option Code:</t>
  </si>
  <si>
    <t>Front Tires Make &amp; Tread Designation:</t>
  </si>
  <si>
    <t>Rear Tires Option Code:</t>
  </si>
  <si>
    <t>Rear Tires Make &amp; Tread Designation:</t>
  </si>
  <si>
    <t>Number of forward gears:</t>
  </si>
  <si>
    <t>Gears direct or w/O.D.?:</t>
  </si>
  <si>
    <t>Gross Vehicle Weight Rating
(GVWR) [lbs]:</t>
  </si>
  <si>
    <t>Single Rear Wheel (SRW)</t>
  </si>
  <si>
    <t>Type A-1, SRW, Cutaway, 4 Rows
(Gasoline; Minimum 16 Pupils)</t>
  </si>
  <si>
    <t>Tab Color</t>
  </si>
  <si>
    <t>LOT A (Item 3-G)</t>
  </si>
  <si>
    <t>Rear Wheels</t>
  </si>
  <si>
    <t>Type A-2, DRW, Cutaway, 4 Rows
(Gasoline; Minimum 20 Pupils)</t>
  </si>
  <si>
    <t>Minimum four (4) rows for twenty (20) Pupils.</t>
  </si>
  <si>
    <t>Type II seat belts shall be provided for each individual seating space.  Seat belts shall meet current federal safety standards and shall be of a type approved by, and installed in accordance with, the rules and regulations established by NYS DOT in subdivision five (5) of section three-hundred eighty-three (383) of the New York State Vehicle and Traffic Laws dated July 30, 1986 and NYCRR, Title 17, Part 720, or the latest revision thereof.</t>
  </si>
  <si>
    <t>Snow tread tires shall be provided on all drive wheels.  Tires shall be Federal class D/A, STC (with snow traction capability), or class S/T, or A/T, AP with STC, or other class with STC. Tires of the same size and ply-rating as front tires shall be furnished on the rear wheels.  The price entered for this Optional Equipment shall be for two (2) tires.</t>
  </si>
  <si>
    <t>All-season tread, tubeless, radial tires having a Federal class designation S/T or STC shall be provided.  Tires shall be Michelin LTX M/S, or LTX M/S Commercial, or XPS Traction tread series, or Compatible Equivalent. The price entered for this Optional Equipment shall be for shall be for four (4) tires.</t>
  </si>
  <si>
    <t xml:space="preserve">In addition to manufacturer's standard and/or NYS DOT minimum requirements, install one (1) under seat heater meeting federal and state regulations, that provides heat for the passenger body area.  </t>
  </si>
  <si>
    <t>Add one (1) row of seating to an Additional Body Section that has been added to the Base Item.</t>
  </si>
  <si>
    <t>A conversion School Bus constructed using a cutaway front-section vehicle with a left side driver’s door, with a GVWR equal to or greater than 10,001 pounds and less than or equal to 21,500 pounds.</t>
  </si>
  <si>
    <t>Seat belts shall be provided for each individual seating space.  Seat belts shall meet current federal safety standards and shall be of a type approved by, and installed in accordance with, the rules and regulations established by NYS DOT in subdivision five (5) of section three-hundred eighty-three (383) of the New York State Vehicle and Traffic Laws dated July 30, 1986 and NYCRR, Title 17, Part 720, or the latest revision thereof.</t>
  </si>
  <si>
    <t>Snow tread tires shall be provided on all drive wheels.  Tires shall be Federal class D/A, STC (with snow traction capability), or class S/T, or A/T, AP with STC, or other class with STC. The price entered for this Optional Equipment shall be for four (4) tires.  Tires furnished on the rear wheels shall be the same size and adequate for axle's GAWR.</t>
  </si>
  <si>
    <t>All-season tread, tubeless, radial tires having a Federal class designation S/T or STC shall be provided.  Tires shall be Michelin LTX M/S, or LTX M/S Commercial, or XPS Traction tread series, or Compatible Equivalent. The price entered for this Optional Equipment shall be for six (6) tires.  Tires furnished on the rear wheels shall be the same size and adequate for axle's GAWR.</t>
  </si>
  <si>
    <t>Roof hatches shall provide static venting with the first unlatched position and provide a latch for release to the full opened emergency position, and be equipped with an exterior latch. Roof hatches shall be Transpec Standard Vent, Model 1970, Specialty Manufacturing 8600, 8900, or 9000 series, Spheros #550886A or 550887A, or Compatible Equivalent.</t>
  </si>
  <si>
    <t xml:space="preserve">NYS DOT Approval Number </t>
  </si>
  <si>
    <t>Vandal locks shall be provided on all emergency doors that can be opened from the outside of the School Bus.</t>
  </si>
  <si>
    <t>When tested with a starting temperature of at least 85°F inside and outside the School Bus, the air conditioning system must provide a minimum 20°F temperature drop throughout the interior of the School Bus within a twenty (20) minute time period.</t>
  </si>
  <si>
    <t>Number of air conditioning units
(including OEM if applicable):</t>
  </si>
  <si>
    <t>Engine shall have a manufacturer's standard water cooled engine complete with accessories, as called for under classification. Engine shall develop full-rated torque and horsepower without requiring the use of premium grade fuel for any condition of operation. If a Diesel engine is offered, it shall develop full-rated torque and horsepower with the use of both ultra low sulfur grade diesel fuel and renewable diesel fuel.</t>
  </si>
  <si>
    <t>A conversion School Bus constructed using a cutaway front-section vehicle with a left side driver’s door, with a GVWR of 10,000 pounds or less.</t>
  </si>
  <si>
    <t>Tires shall meet the minimum requirements for the Chassis Model, as published by the Chassis manufacturer.</t>
  </si>
  <si>
    <t>The unit shall be the Body manufacturer's typical recessed mounting track for a single wheelchair station. Unit does NOT include mounting upgrades for seating mounts to be compatible with the track, wheelchair restraints, or seats.
Insulated flooring contiguous to all track inserts shall be a non-hazardous material that is either not susceptible to, or is treated to prevent, decay and dry-rot. Additionally, the contiguous joint(s) between the floor pan and/or its insulating floor materials and/or rubber finish flooring shall have a non-hazardous adhesive/sealant that prevents moisture from migrating to any adjacent untreated floor-insulating materials that are subject to rotting.</t>
  </si>
  <si>
    <t xml:space="preserve">An automated photo monitoring device affixed to a School Bus in a location designated by the Authorized User, that activates when the School Bus stop arm is extended, and that is designed to detect and store an image of motor vehicles which overtake or pass School Buses in violation of Subdivision A of Section 1174 of Vehicle and Traffic Law.  </t>
  </si>
  <si>
    <t>Configure the School Bus bid for the Base Item as a Multifunction School Activity Bus as defined in FMVSS (49 CFR 571.3); (e.g., the same vehicle as the School Bus bid, except without the School Bus sign, the flashing lights for crossing Pupils, the stop arms on the sides, and the color of national school bus yellow).</t>
  </si>
  <si>
    <t>Delete one (1) full row of seating (both left and right sides) without removing a Body section from the Base Item, or altering the spacing between the remaining seats.</t>
  </si>
  <si>
    <t>Gasoline and diesel engines Base Items shall have a Twenty-Five (25) gallon fuel capacity. LPG and CNG shall have the minimum construction and protection required by NFPA.</t>
  </si>
  <si>
    <t>Low voltage fuel oil heater, Webasto Thermo Pro 90 or equivalent, used to preheat the engine coolant, for the purpose of reducing engine idling.  Heater output shall be a minimum of 30,000 BTU/H.  The heater shall be connected to the vehicle heating system using the same size and quality plumbing as the OEM Base Item. The heater shall function separately from the School Bus engine. For a School Bus that uses a fuel type other than diesel, the heater shall operate via a separate diesel fuel tank. For a diesel engine equipped School Bus, the heater shall use the same fuel tank and type of fuel supply lines as the original bus manufacturer provides.</t>
  </si>
  <si>
    <t>Description of Tab or Item</t>
  </si>
  <si>
    <t>PART 2: Pricing for the Base Item, Additional Body Section, and Additional Options</t>
  </si>
  <si>
    <t>PART 1: Product information for the Base Item(s) Awarded</t>
  </si>
  <si>
    <t>Information identifying the engine for the fuel type offered.</t>
  </si>
  <si>
    <t>The Model name of the Chassis.</t>
  </si>
  <si>
    <t>The OEM company name of a Chassis.</t>
  </si>
  <si>
    <t>The OEM code used to identify the subset of the Chassis Model.</t>
  </si>
  <si>
    <t>The Model name of the Body.</t>
  </si>
  <si>
    <t>The OEM company name of a Body.</t>
  </si>
  <si>
    <t>The OEM code used to identify the subset of the Body Model.</t>
  </si>
  <si>
    <t xml:space="preserve">The estimated delivery time for the School Bus, expressed in number of calendar days, required to make delivery after receipt of a final Purchase Order (After Receipt of Order (“ARO”)).  </t>
  </si>
  <si>
    <t xml:space="preserve">The dollar amount, per School Bus, that will be deducted from the Base Item NYS Contract Price, if the Authorized User elects to pick up the School Bus at the Contractor's location. </t>
  </si>
  <si>
    <t>The per unit NYS Contract Price (dollar amount) for the School Bus described in the Base Item Specifications. The Base Item NYS Contract Price includes any OEM fees, all customs duties and charges, all vehicle preparation and clean-up charges, NYS DOT inspection, installation charges, delivery and all other incidentals normally included with providing a School Bus, but excludes Optional Equipment, Additional Body Section(s), and Additional Options.</t>
  </si>
  <si>
    <t xml:space="preserve">The per unit NYS Contract Price (dollar amount) for adding one (1) Additional Body Section, excluding seats and other interior features, to the Base Item and the applicable Base Item NYS Contract Price. </t>
  </si>
  <si>
    <t>The minimum percentage amount that shall be deducted from the MSRP for all Additional Options purchased under the Contract for this Item.</t>
  </si>
  <si>
    <t>PART 3: Base Item Specifications</t>
  </si>
  <si>
    <t>Information provided in Yellow Cells</t>
  </si>
  <si>
    <t>PART 4: Optional Equipment Specifications</t>
  </si>
  <si>
    <t xml:space="preserve">All units with a capacity of ten (10) or more Pupils shall be equipped with exterior reflective markings as required by FMVSS (49 CFR 571.217) and NYCRR (Title 15, Department of Motor Vehicles, Part D, 46.12).  </t>
  </si>
  <si>
    <t>PART 4: Optional Equipment NYS Contract Pricing</t>
  </si>
  <si>
    <t>Optional Equipment (see Specifications and Equipment Provided below)</t>
  </si>
  <si>
    <t>The unit shall be the Body manufacturer's typical recessed mounting track on a raised flat floor throughout the entire passenger area to rear of front wheel wells, with tracks that would allow for multiple configurations of seats and wheelchair tie down positions that can be readily changed. Unit does NOT include mounting upgrades for seating mounts to be compatible with the track, wheelchair restraints, or seats.
Insulated flooring contiguous to all track inserts shall be a non-hazardous material that is either not susceptible to, or is treated to prevent, decay and dry-rot. Additionally, the contiguous joint(s) between the floor pan and/or its insulating floor materials and/or rubber finish flooring shall have a non-hazardous adhesive/sealant that prevents moisture from migrating to any adjacent untreated floor-insulating materials that are subject to rotting.</t>
  </si>
  <si>
    <t>LOT A (Item 4-G)</t>
  </si>
  <si>
    <t>Type A-2, DRW, Cutaway, 4 Rows
(Gasoline; Minimum 24 Pupils)</t>
  </si>
  <si>
    <t>Minimum four (4) rows for twenty-four (24) Pupils.</t>
  </si>
  <si>
    <t xml:space="preserve">Front radial tires size (load range letter)
</t>
  </si>
  <si>
    <t xml:space="preserve">Front radial tires capacity
</t>
  </si>
  <si>
    <t xml:space="preserve">Rear radial tires size (load range letter)
</t>
  </si>
  <si>
    <t xml:space="preserve">Rear radial tires capacity
</t>
  </si>
  <si>
    <t>Fuel Types Awarded</t>
  </si>
  <si>
    <t>Gasoline and diesel engines Base Items shall have a Thirty (30) gallon fuel capacity. LPG and CNG shall have the minimum construction and protection required by NFPA.</t>
  </si>
  <si>
    <t>Ford</t>
  </si>
  <si>
    <t>Not Available</t>
  </si>
  <si>
    <t>Tab Name</t>
  </si>
  <si>
    <t>Included in Base Item</t>
  </si>
  <si>
    <t>Electric</t>
  </si>
  <si>
    <t>Propulsion System</t>
  </si>
  <si>
    <t>Propulsion system which furnishes high-wattage electric power to the motor(s), that propels the vehicle forward or backward, and is sometimes referred to as the “main or power drive circuitry.”</t>
  </si>
  <si>
    <t>Vehicle range on full charge [miles]:</t>
  </si>
  <si>
    <t>Number of Batteries:</t>
  </si>
  <si>
    <t>Type of Batteries:</t>
  </si>
  <si>
    <t>System Design Voltage:</t>
  </si>
  <si>
    <t xml:space="preserve">The NYS DOT Approval Number for the School Bus. Only School Buses approved by NYS DOT Passenger Carrier Safety Bureau for use as 2022 and newer Models, as indicated by a NYS DOT Approval Number, shall be delivered pursuant to the Contract. </t>
  </si>
  <si>
    <t>PPI Series ID</t>
  </si>
  <si>
    <t>10/2017 PPI</t>
  </si>
  <si>
    <t>Adj. Factor</t>
  </si>
  <si>
    <t>Round to 1000th</t>
  </si>
  <si>
    <t>WPU1413</t>
  </si>
  <si>
    <t>Direct</t>
  </si>
  <si>
    <t xml:space="preserve">Heater Power Source: </t>
  </si>
  <si>
    <r>
      <t xml:space="preserve">The Contractor has been awarded the following Items, and shall offer Base Items, Optional Equipment and Additional Body Sections sold under the Contract at net prices that are equal to the applicable NYS Contract Price that is listed on the Contract Pricelist, or less.  An Authorized User may choose to add one (1) or more of the Optional Equipment from the list of Optional Equipment, and/or Additional Body Sections, associated with the Base Item (see Contract Section 3.7 </t>
    </r>
    <r>
      <rPr>
        <i/>
        <sz val="10"/>
        <rFont val="Arial"/>
        <family val="2"/>
      </rPr>
      <t>Optional Equipment and Additional Body Sections</t>
    </r>
    <r>
      <rPr>
        <sz val="10"/>
        <rFont val="Arial"/>
        <family val="2"/>
      </rPr>
      <t xml:space="preserve">). Additional Options offered by the Contractor, that are listed on the OEM or Contractor-Published Pricelist(s), may also be requested by the Authorized User (see Contract Section 3.8 </t>
    </r>
    <r>
      <rPr>
        <i/>
        <sz val="10"/>
        <rFont val="Arial"/>
        <family val="2"/>
      </rPr>
      <t>Additional Options</t>
    </r>
    <r>
      <rPr>
        <sz val="10"/>
        <rFont val="Arial"/>
        <family val="2"/>
      </rPr>
      <t xml:space="preserve">). </t>
    </r>
  </si>
  <si>
    <t>Shall be manufacturer’s high headroom body not less than 74-inches.</t>
  </si>
  <si>
    <t>High Headroom</t>
  </si>
  <si>
    <t xml:space="preserve">Rear radial tires capacity
 [_____,_____-lbs]:
</t>
  </si>
  <si>
    <t xml:space="preserve">Rear radial tires size (load range letter)
[LT_____/_____R_____._____(_____)]:
</t>
  </si>
  <si>
    <t xml:space="preserve">Front radial tires capacity
 [_____,_____-lbs]:
</t>
  </si>
  <si>
    <t xml:space="preserve">Front radial tires size (load range letter)
[LT_____/_____R_____._____(_____)]:
</t>
  </si>
  <si>
    <t>All-season tread, tubeless, radial tires having a Federal class designation S/T or STC shall be provided.  Tires shall be Michelin XDS, XDS-2, XZY3, or Compatible Equivalent. The price entered for this Optional Equipment shall be for six (6) tires.  Tires furnished on the rear wheels shall be the same size and adequate for axle's GAWR.</t>
  </si>
  <si>
    <t>ELECTRIC</t>
  </si>
  <si>
    <t xml:space="preserve">Tires (All-Season) </t>
  </si>
  <si>
    <t>Tires (Snow) for 4 tires</t>
  </si>
  <si>
    <t xml:space="preserve">Shall be entrance-door activated, electric or air-positioning type, and be provided streetside on all School Buses.  It shall be compliant with FMVSS (49 CFR 571.131).  Buses with a capacity of 45 persons or more shall have an additional and same model stop-arm at the rear streetside of the bus. </t>
  </si>
  <si>
    <t>Seat belts shall be provided for each individual seating space.  Seat belts shall meet current federal safety standards and shall be of a type approved by, and installed in accordance, with the rules and regulations established by NYS DOT in subdivision five (5) of section three-hundred eighty-three (383) of the New York State Vehicle and Traffic Laws dated July 30, 1986 and NYCRR, Title 17, Part 720, or the latest revision thereof.</t>
  </si>
  <si>
    <t>The vertical rectangular exterior driving mirrors shall be the heated defrosting type with their own switch and pilot light.  Crossview mirrors shall be provided at front corners of each bus.</t>
  </si>
  <si>
    <t>Structural, tread and riser members shall be constructed entirely of rust/corrosion-resistant steel, components and fasteners or materials of equivalent or stronger structural integrity.  Manufacturer's standard floor/stair coverings shall be used for finish surfaces.</t>
  </si>
  <si>
    <t>Stepwell (Entrance)</t>
  </si>
  <si>
    <t>Minimum 24 inch opening.</t>
  </si>
  <si>
    <t>An electrical horn(s) shall be provided that meets SAE standard J377.  An air horn shall not be an approved Compatible Equivalent.</t>
  </si>
  <si>
    <t>Automatic transmission with manufacturer's standard or optional temperature indicator at the operator's control panel.</t>
  </si>
  <si>
    <t>Antilock Brake System (ABS), and an audio &amp; visual warning system for system malfunctions.</t>
  </si>
  <si>
    <t>Brakes</t>
  </si>
  <si>
    <t>Air Dryer size, Make &amp; Model:</t>
  </si>
  <si>
    <t>Air Compressor size, Make &amp; Model:</t>
  </si>
  <si>
    <t xml:space="preserve">Chassis manufacturer's typical full air service brake system.  A liquid-cooled, engine-lubricated air compressor, that is compliant with FMVSS (49 CFR 571.121.S5.1.1.), shall be provided. The air brake system shall be equipped with an automatic drain valve on the wet tank that may be unheated, a valve that can be manually opened on each air tank, and an air dryer/ejector that may be unheated.  The system shall include a spring set parking brake.  System shall be compliant with FMVSS (49 CFR 571.121), including the latest revision thereof. All brakes shall have automatic slack adjusters. </t>
  </si>
  <si>
    <t>Forward tilting style cowl/hood assembly.</t>
  </si>
  <si>
    <t>Cowl/Hood</t>
  </si>
  <si>
    <t>The estimated delivery time for the School Bus, expressed in number of calendar days, required to make delivery after receipt of a final Purchase Order (After Receipt of Order (“ARO”))</t>
  </si>
  <si>
    <t>The dollar amount, per School Bus, that will be deducted from the Base Item NYS Contract Price, if the Authorized User elects to pick up the School Bus at the Contractor's location.</t>
  </si>
  <si>
    <t>The Model name of the Body</t>
  </si>
  <si>
    <t>The Model name of the Chassis</t>
  </si>
  <si>
    <t>NYS DOT Approval Number</t>
  </si>
  <si>
    <t>The NYS DOT Approval Number for the School Bus. Only School Buses approved by NYS DOT Passenger Carrier Safety Bureau for use as 2022 and newer Models, as indicated by a NYS DOT Approval Number, shall be delivered pursuant to the Contract.</t>
  </si>
  <si>
    <t>Attachment 1 - Summary</t>
  </si>
  <si>
    <r>
      <t xml:space="preserve">Summary of Attachment 1 - </t>
    </r>
    <r>
      <rPr>
        <i/>
        <sz val="10"/>
        <rFont val="Arial"/>
        <family val="2"/>
      </rPr>
      <t>Specifications and Pricing</t>
    </r>
    <r>
      <rPr>
        <sz val="10"/>
        <rFont val="Arial"/>
        <family val="2"/>
      </rPr>
      <t xml:space="preserve"> (this worksheet)</t>
    </r>
  </si>
  <si>
    <t>Item Availability by County
(Under this Contract)</t>
  </si>
  <si>
    <t>C (Item 1-D)</t>
  </si>
  <si>
    <t xml:space="preserve">Lot C (Item 1-D): Type C, Conventional Bus </t>
  </si>
  <si>
    <t>C (Item 2-D)</t>
  </si>
  <si>
    <t xml:space="preserve">Lot C (Item 2-D): Type C, Conventional Bus </t>
  </si>
  <si>
    <t>Minimum 46</t>
  </si>
  <si>
    <t>C (Item 3-D)</t>
  </si>
  <si>
    <t>Minimum 58</t>
  </si>
  <si>
    <t>C (Item 4-D)</t>
  </si>
  <si>
    <t>Lot C (Item 3-D): Type C, Conventional Bus</t>
  </si>
  <si>
    <t>Lot C (Item 4-D): Type C, Conventional Bus</t>
  </si>
  <si>
    <t>Minimum 64</t>
  </si>
  <si>
    <t>C (Item 4-EV)</t>
  </si>
  <si>
    <t>Lot C (Item 4-EV): Type C, Conventional Bus</t>
  </si>
  <si>
    <t>Number and location of fuel tanks:</t>
  </si>
  <si>
    <t>Capacity [gallons/cu. ft.]:</t>
  </si>
  <si>
    <t>Diesel and gasoline engine Base Items shall have a thirty (30) gallon fuel capacity. LPG and CNG shall have the minimum construction and protection required by NFPA</t>
  </si>
  <si>
    <t>Cold Cranking Amp (CCA) 
rating of each battery at 0oF</t>
  </si>
  <si>
    <t>Three (3) "No Maintenance" type batteries with a total capacity of 2400-CCA and a 145-minute reserve capacity. The battery cables (- and +) shall be the same size and weight and be equal to (or better than) the larger cable recommended by the School Bus manufacturer.</t>
  </si>
  <si>
    <t>Engine shall include silicone radiator and heater hoses (or equivalently rated/warranted). Diesel engine shall include cold weather starting aid.</t>
  </si>
  <si>
    <t>Engine Equipment</t>
  </si>
  <si>
    <t>Engine shall have a manufacturer's standard water cooled engine complete with accessories, as called for under classification. Engine shall develop full-rated torque and horsepower without requiring the use of premium grade fuel for any condition of operation. The Diesel engine shall develop full-rated torque and horsepower with the use of both ultra low sulfur grade diesel fuel and renewable diesel fuel.</t>
  </si>
  <si>
    <t>18.7 CFM, Cummins</t>
  </si>
  <si>
    <t xml:space="preserve">Minimum twenty-eight (28) Pupils. </t>
  </si>
  <si>
    <t>A School Bus with a Body installed upon a cowl and Chassis constructed using a chassis with a hood and front fender assembly. All of the engine is in front of the windshield and the entrance door is behind the front wheels. This is also known as a conventional school bus. This type also includes the cutaway truck chassis or truck chassis with cab, with or without a left side door, and with a GVWR greater than 16,000 pounds.</t>
  </si>
  <si>
    <t>`</t>
  </si>
  <si>
    <t>Type C, 28 Pupil Conventional Front-Engine Bus 
(Diesel, Minimum 28 Pupils)</t>
  </si>
  <si>
    <t>LOT C (Item 1-D)</t>
  </si>
  <si>
    <t xml:space="preserve">Minimum forty-six (46) Pupils. </t>
  </si>
  <si>
    <t>Type C, 46 Pupil Conventional Front-Engine Bus 
(Diesel, Minimum 46 Pupils)</t>
  </si>
  <si>
    <t>LOT C (Item 2-D)</t>
  </si>
  <si>
    <t>Diesel and gasoline engine Base Items shall have a sixty (60) gallon fuel capacity. LPG and CNG shall have the minimum construction and protection required by NFPA</t>
  </si>
  <si>
    <t xml:space="preserve">Minimum fifty-eight (58) Pupils. </t>
  </si>
  <si>
    <t>Type C, 58 Pupil Conventional Front-Engine Bus 
(Diesel, Minimum 58 Pupils)</t>
  </si>
  <si>
    <t>LOT C (Item 3-D)</t>
  </si>
  <si>
    <t xml:space="preserve">Minimum sixty-four (64) Pupils. </t>
  </si>
  <si>
    <t>Type C, 64 Pupil Conventional Front-Engine Bus 
(Diesel, Minimum 64 Pupils)</t>
  </si>
  <si>
    <t>LOT C (Item 4-D)</t>
  </si>
  <si>
    <t>LOT C (Item 4-EV)</t>
  </si>
  <si>
    <t>Delete Exterior LED Lamps</t>
  </si>
  <si>
    <t>08/2022 PPI</t>
  </si>
  <si>
    <t>Provide information on power source for air conditioning unit(s). (Propulsion Battery(ies), Auxiliary Battery(ies) or Fuel Source)</t>
  </si>
  <si>
    <t>Propulsion Batteries</t>
  </si>
  <si>
    <t>Minimum 20</t>
  </si>
  <si>
    <t>A (Item 4-G)</t>
  </si>
  <si>
    <t>A (Item 5-G)</t>
  </si>
  <si>
    <t>A (Item 3-G)</t>
  </si>
  <si>
    <t>A (Item 2-G)</t>
  </si>
  <si>
    <t>Minimum 16</t>
  </si>
  <si>
    <t>Minimum 30</t>
  </si>
  <si>
    <t>Lot A (Item 5-G): Type A-2, DRW, Cutaway, 5 Rows</t>
  </si>
  <si>
    <t>Lot A (Item 4-G): Type A-2, DRW, Cutaway, 4 Rows</t>
  </si>
  <si>
    <t>Lot A (Item 3-G): Type A-2, DRW, Cutaway, 4 Rows</t>
  </si>
  <si>
    <t>Lot A (Item 2-G): Type A-1, SRW, Cutaway, 4 Rows</t>
  </si>
  <si>
    <t>Minimum 77</t>
  </si>
  <si>
    <t>E-350</t>
  </si>
  <si>
    <t>Minimum five (5) rows for thirty (30) Pupils.</t>
  </si>
  <si>
    <t>Type A-2, DRW, Cutaway, 5 Rows
(Gasoline; Minimum 30 Pupils)</t>
  </si>
  <si>
    <t>LOT A (Item 5-G)</t>
  </si>
  <si>
    <t>Lot D (Item 1-D): Type D, Forward Control Transit Style Bus</t>
  </si>
  <si>
    <t>D (Item 1-D)</t>
  </si>
  <si>
    <t>D (Item 2-D)</t>
  </si>
  <si>
    <t>D (Item 3-D)</t>
  </si>
  <si>
    <t>D (Item 4-D)</t>
  </si>
  <si>
    <t>D (Item 5-D)</t>
  </si>
  <si>
    <t>Minimum 65</t>
  </si>
  <si>
    <t>Minimum 72</t>
  </si>
  <si>
    <t>Lot D (Item 2-D): Type D, Forward Control Transit Style Bus</t>
  </si>
  <si>
    <t>Lot D (Item 3-D): Type D, Forward Control Transit Style Bus</t>
  </si>
  <si>
    <t>Lot D (Item 4-D): Type D, Rear Engine (Pusher) Bus</t>
  </si>
  <si>
    <t>Lot D (Item 5-D): Type D, Rear Engine (Pusher) Bus</t>
  </si>
  <si>
    <t>Gasoline, LPG</t>
  </si>
  <si>
    <t>General Motors</t>
  </si>
  <si>
    <t>XLP</t>
  </si>
  <si>
    <t>YLP</t>
  </si>
  <si>
    <t>Limited Slip</t>
  </si>
  <si>
    <t>XHF</t>
  </si>
  <si>
    <t>238"</t>
  </si>
  <si>
    <t>A School Bus with a Body installed upon a Chassis or unitized type construction, with the engine mounted in the front with a GVWR of greater than 16,000 pounds and designed to carry more than 10 persons. The engine shall be behind the windshield and beside the driver’s seat. The entrance door is ahead of the front wheels.</t>
  </si>
  <si>
    <t>LOT D (Item 1-D)</t>
  </si>
  <si>
    <t xml:space="preserve">Minimum sixty-five (65) Pupils. </t>
  </si>
  <si>
    <t>Type D, 65 Pupil Forward Control Transit Style Bus
(Diesel; Minimum 65 Pupils)</t>
  </si>
  <si>
    <t>LOT D (Item 2-D)</t>
  </si>
  <si>
    <t xml:space="preserve">Minimum seventy-seven (77) Pupils. </t>
  </si>
  <si>
    <t>Type D, 77 Pupil Forward Control Transit Style Bus
(Diesel; Minimum 77 Pupils)</t>
  </si>
  <si>
    <t>LOT D (Item 3-D)</t>
  </si>
  <si>
    <t>Shall include lower glass, and shall be located on side of the School Bus.</t>
  </si>
  <si>
    <t>A School Bus with a Body installed upon a Chassis or unitized type construction, with the engine mounted in the rear with a GVWR of greater than 16,000 pounds and designed to carry more than 10 persons. The engine shall be at the rear of the bus, behind the rear wheels. The entrance door is ahead of the front wheels.</t>
  </si>
  <si>
    <t>Type D, 65 Pupil Rear Engine (Pusher) Bus
(Diesel; Minimum 65 Pupils)</t>
  </si>
  <si>
    <t>LOT D (Item 4-D)</t>
  </si>
  <si>
    <t>Type D, 53 Pupil Forward Control Transit Style Bus
(Diesel; Minimum 24 Pupils, Maximum 64 Pupils)</t>
  </si>
  <si>
    <t>Air</t>
  </si>
  <si>
    <t xml:space="preserve">Minimum seventy-two (72) Pupils. </t>
  </si>
  <si>
    <t>Type D, 72 Pupil Rear Engine (Pusher) Bus
(Diesel; Minimum 72 Pupils)</t>
  </si>
  <si>
    <t>LOT D (Item 5-D)</t>
  </si>
  <si>
    <t xml:space="preserve">Minimum twenty-four (24) Pupils. </t>
  </si>
  <si>
    <t>PC69862 Matthews Buses, Inc.</t>
  </si>
  <si>
    <r>
      <t xml:space="preserve">All counties, </t>
    </r>
    <r>
      <rPr>
        <b/>
        <u/>
        <sz val="10"/>
        <rFont val="Arial"/>
        <family val="2"/>
      </rPr>
      <t>EXCEPT</t>
    </r>
    <r>
      <rPr>
        <sz val="10"/>
        <rFont val="Arial"/>
        <family val="2"/>
      </rPr>
      <t xml:space="preserve"> Bronx, Kings, Nassau, New York, Queens, Richmond, and Suffolk Counties. </t>
    </r>
    <r>
      <rPr>
        <b/>
        <sz val="10"/>
        <rFont val="Arial"/>
        <family val="2"/>
      </rPr>
      <t>For Bronx, Kings, Nassau, New York, Queens, Richmond, and Suffolk Counties, please see Contract PC69863, Nesco Truck and Bus Sales, Inc.</t>
    </r>
  </si>
  <si>
    <t>Diesel, CNG</t>
  </si>
  <si>
    <t>General Motors / Thomas</t>
  </si>
  <si>
    <t>General Motors / 
Thomas</t>
  </si>
  <si>
    <t>LV1, GM 4.3L Vortec, 6 cylinders, 4.3L, 276HP@5200, 298 LB FT Torque @ 3800</t>
  </si>
  <si>
    <t>1623-NY-16-00WC-TBB</t>
  </si>
  <si>
    <t>CG33503</t>
  </si>
  <si>
    <t>Thomas</t>
  </si>
  <si>
    <t>Minotour</t>
  </si>
  <si>
    <t>041LS</t>
  </si>
  <si>
    <t>LT245/75R16E</t>
  </si>
  <si>
    <t>2205 each</t>
  </si>
  <si>
    <t>3042 each</t>
  </si>
  <si>
    <t>Bridgestone Hwy</t>
  </si>
  <si>
    <t>w/O.D.</t>
  </si>
  <si>
    <t>MYD, GM 3L90</t>
  </si>
  <si>
    <t>KW5, GM Delco</t>
  </si>
  <si>
    <t>TP2</t>
  </si>
  <si>
    <t>600 CCA,770 CCA</t>
  </si>
  <si>
    <t>O/O manual, 24"</t>
  </si>
  <si>
    <t>Specialty 7970</t>
  </si>
  <si>
    <t>Weldon 7000</t>
  </si>
  <si>
    <t>Child Check-Mate EP2</t>
  </si>
  <si>
    <t>no-spin rear</t>
  </si>
  <si>
    <t>3042 lbs each</t>
  </si>
  <si>
    <t>103-01C2A</t>
  </si>
  <si>
    <t>Bridgestone M700HD</t>
  </si>
  <si>
    <t>2205  lbs each</t>
  </si>
  <si>
    <t>103-01C2C</t>
  </si>
  <si>
    <t>Bridgestone R500HD</t>
  </si>
  <si>
    <t>Plywood with recessed L-Track</t>
  </si>
  <si>
    <t>Braun NCL919FIB-2</t>
  </si>
  <si>
    <t>800 lbs</t>
  </si>
  <si>
    <t>Thomas TBB138592</t>
  </si>
  <si>
    <t>Seon TL2-1</t>
  </si>
  <si>
    <t>99S Ford Triton V8, 10 cylinder,7.3L,325HP @ 4250 RPM, 450LBFT torque @ 3750 RPM</t>
  </si>
  <si>
    <t>1462-NY-20-00WC-TBB</t>
  </si>
  <si>
    <t>E3F</t>
  </si>
  <si>
    <t>041MS</t>
  </si>
  <si>
    <t>210 days</t>
  </si>
  <si>
    <t>Ford / Thomas</t>
  </si>
  <si>
    <t>LT225/75R16E</t>
  </si>
  <si>
    <t>T67</t>
  </si>
  <si>
    <t>44P, Ford 6R140</t>
  </si>
  <si>
    <t>63N, Ford Motorcraft</t>
  </si>
  <si>
    <t>63G</t>
  </si>
  <si>
    <t>750 CCA</t>
  </si>
  <si>
    <t>103-01C2B</t>
  </si>
  <si>
    <t>Specialty 9245</t>
  </si>
  <si>
    <t>Thomas TBB 138592</t>
  </si>
  <si>
    <t xml:space="preserve">Electric </t>
  </si>
  <si>
    <t>L8T, GM 6.6L Vortec, 8 Cylinders, 6.6L,401 HP @5200 RPM,464 LBFT Torque @ 4000 RPM</t>
  </si>
  <si>
    <t>1642-NY-24-00WC-TBB</t>
  </si>
  <si>
    <t>YHF</t>
  </si>
  <si>
    <t>MYD, GM 6L90</t>
  </si>
  <si>
    <t>TF2</t>
  </si>
  <si>
    <t xml:space="preserve">600 CCA,770 CCA </t>
  </si>
  <si>
    <t>No-spin</t>
  </si>
  <si>
    <t>1553-NY-30-00WC-TBB</t>
  </si>
  <si>
    <t>CG33803</t>
  </si>
  <si>
    <t>051MS</t>
  </si>
  <si>
    <t>600 CCA, 770 CCA</t>
  </si>
  <si>
    <t>Freightliner / Thomas</t>
  </si>
  <si>
    <t>FL-101-2N2 Cummins ISB, 6 Cylinders, 6.7L, 200HP @ 2300 RPM, 520 LBFT Torque @ 1600 RPM</t>
  </si>
  <si>
    <t>1536-NY-30-00WC-TBB</t>
  </si>
  <si>
    <t>Freightliner</t>
  </si>
  <si>
    <t>B2</t>
  </si>
  <si>
    <t>B2106</t>
  </si>
  <si>
    <t>C2</t>
  </si>
  <si>
    <t>161TS</t>
  </si>
  <si>
    <t>25 CFM, Bendix AD9</t>
  </si>
  <si>
    <t>10R22.5(G)</t>
  </si>
  <si>
    <t>FL-093-1HE</t>
  </si>
  <si>
    <t>Bridgestone Ecopia</t>
  </si>
  <si>
    <t>FL-094-1HW</t>
  </si>
  <si>
    <t>FL3421MJ Allison2500</t>
  </si>
  <si>
    <t>FL1241DM, 4939, Leece Neville</t>
  </si>
  <si>
    <t>FL-292-1D7</t>
  </si>
  <si>
    <t>2775 CCA</t>
  </si>
  <si>
    <t>O/O Air, 26"</t>
  </si>
  <si>
    <t>1 BFR, Aft of Axle</t>
  </si>
  <si>
    <t>Specialty 2970</t>
  </si>
  <si>
    <t>Weldon 2121-1100-12</t>
  </si>
  <si>
    <t>No-Spin</t>
  </si>
  <si>
    <t>FL-094-12E</t>
  </si>
  <si>
    <t>Hankook DH37</t>
  </si>
  <si>
    <t>11R22.5(H)</t>
  </si>
  <si>
    <t>FL-093-1RK</t>
  </si>
  <si>
    <t>Michelin XZY-3</t>
  </si>
  <si>
    <t>FL-094-1RK</t>
  </si>
  <si>
    <t>Plywood with Recessed L Track</t>
  </si>
  <si>
    <t>Plywood with Continuous L Track</t>
  </si>
  <si>
    <t>Braun NCL917IB-2</t>
  </si>
  <si>
    <t>Webasto Scholastic</t>
  </si>
  <si>
    <t>45,000 VTU/H</t>
  </si>
  <si>
    <t>1478-NY-48-00WC-TBB</t>
  </si>
  <si>
    <t>221TS</t>
  </si>
  <si>
    <t>18.7 CFM Cummins</t>
  </si>
  <si>
    <t>25 CFM Bendix AD9</t>
  </si>
  <si>
    <t>O/O air 26"</t>
  </si>
  <si>
    <t>35gal</t>
  </si>
  <si>
    <t>1, BFR, Aft of Axle</t>
  </si>
  <si>
    <t>CNG</t>
  </si>
  <si>
    <t>1400-NY-60-00WC-TBB</t>
  </si>
  <si>
    <t>FL-101-27T Cummins B6.7N 6 Cylinders, 6.7L, 200HP @ 2400RPM, 520LB/FT Torque @ 1600RPM</t>
  </si>
  <si>
    <t>281TS</t>
  </si>
  <si>
    <t>60gal</t>
  </si>
  <si>
    <t>CNG: 2 left 2 right, fwd of axle | LPG: 2, BFR, Aft of Axle</t>
  </si>
  <si>
    <t>45,000 BTU/H</t>
  </si>
  <si>
    <t>1559-NY-64-00WC-TBB</t>
  </si>
  <si>
    <t>LPG: 2 tanks, BFR fwd of axle | CNG: 2 LEFT, 2 RIGHT, fwd of axle</t>
  </si>
  <si>
    <t>Type C, 64 Pupil Conventional Bus 
(Electric, Minimum 64 Pupils)</t>
  </si>
  <si>
    <t>Enter information identifying the Make and Model propulsion system offered.</t>
  </si>
  <si>
    <t>Proterra ProDrive UQM220P; 3 Phase Max 400V Single 220kW Permanent Magnet Drive Motor 295 Peak HP Continuous 161HP, Peak Torque 516 Ft Continuus 258FTLB</t>
  </si>
  <si>
    <t>B2 106 Electrical Conventional</t>
  </si>
  <si>
    <t>281T</t>
  </si>
  <si>
    <t>210 Days</t>
  </si>
  <si>
    <t>Hydrovane 0009-0010 9CFM @2800 RMP</t>
  </si>
  <si>
    <t>11R22.5H</t>
  </si>
  <si>
    <t>FL-093-2EP</t>
  </si>
  <si>
    <t>Hankook AH24</t>
  </si>
  <si>
    <t>FL-094-2EU</t>
  </si>
  <si>
    <t>Hankook DH06</t>
  </si>
  <si>
    <t>FL-342-627 Eaton 2 Speed Electric Vehicle</t>
  </si>
  <si>
    <t>Alliance 1031, Group 31, 12 Volt</t>
  </si>
  <si>
    <t>O/O AG2 Electric 26"</t>
  </si>
  <si>
    <t>First Light Illuminated</t>
  </si>
  <si>
    <t>Propulsion Battery</t>
  </si>
  <si>
    <t>FL-094-1UY</t>
  </si>
  <si>
    <t>Michelin XDS2</t>
  </si>
  <si>
    <t>800 Pounds</t>
  </si>
  <si>
    <t>SEON TL2-1</t>
  </si>
  <si>
    <t>C241014200,Cummins ISB 6 Cylinders,6.7L 200HP @ 2300RPM,520 LBFT Torque @ 1600 RPM</t>
  </si>
  <si>
    <t>1610-NY-53-00WC-TBB</t>
  </si>
  <si>
    <t>CHS8</t>
  </si>
  <si>
    <t>EFX</t>
  </si>
  <si>
    <t>0918S</t>
  </si>
  <si>
    <t>18.7 CFM Wabco</t>
  </si>
  <si>
    <t>C5304-01-000</t>
  </si>
  <si>
    <t>Michelin XZE</t>
  </si>
  <si>
    <t>C600302125, 2500, Allison</t>
  </si>
  <si>
    <t>C1358-01-000, 4939, Leece Neville</t>
  </si>
  <si>
    <t>C1816-18-000</t>
  </si>
  <si>
    <t>3,000CCA</t>
  </si>
  <si>
    <t>Weldon 1020-9030-010</t>
  </si>
  <si>
    <t>C5304-51-100</t>
  </si>
  <si>
    <t>Michelin XDE</t>
  </si>
  <si>
    <t>11R22.5(G)</t>
  </si>
  <si>
    <t>C5318-01-000</t>
  </si>
  <si>
    <t>Plywood with recessed L track</t>
  </si>
  <si>
    <t>Plywood with continuous track</t>
  </si>
  <si>
    <t>1585-NY-66-00WC-TBB</t>
  </si>
  <si>
    <t>1118S</t>
  </si>
  <si>
    <t>C241014200, Cummins ISB, 6 Cylinders, 6.7L, 200HP @ 2300 RPM, 520 LBFT Torque @ 1600 RPM</t>
  </si>
  <si>
    <t>1594-NY-78-00WC-TBB</t>
  </si>
  <si>
    <t>1318S</t>
  </si>
  <si>
    <t>C5316-03-000</t>
  </si>
  <si>
    <t>Michelin XZE2</t>
  </si>
  <si>
    <t>C5310-51-100</t>
  </si>
  <si>
    <t xml:space="preserve">Plywood with recessed L track </t>
  </si>
  <si>
    <t>C241012220,Cummins ISB 6 Cylinders,6.7L, 220HP @ 2400 RPM 520 LBFT Torque @ 1600 RPM</t>
  </si>
  <si>
    <t>1474-NY-66-00WC-TBB</t>
  </si>
  <si>
    <t>CHSY</t>
  </si>
  <si>
    <t>HDX</t>
  </si>
  <si>
    <t>120YS</t>
  </si>
  <si>
    <t>C1366-00-000, 4951, Leece Neville</t>
  </si>
  <si>
    <t>C1829-00-000</t>
  </si>
  <si>
    <t>2,775 CCA</t>
  </si>
  <si>
    <t>O/O Air, 25"</t>
  </si>
  <si>
    <t>1, BFR, Fwd of Axle</t>
  </si>
  <si>
    <t>1749-NY-72-00WC-TBB</t>
  </si>
  <si>
    <t>C245201250,Cummins ISLG, 6 Cylinders, 809L,250HP @ 2200 RPM,730 LBFT Torque @ 1300RPM</t>
  </si>
  <si>
    <t>130S</t>
  </si>
  <si>
    <t>130YS</t>
  </si>
  <si>
    <t xml:space="preserve">1,BFR,Fwd of Axle, </t>
  </si>
  <si>
    <t>For CNG: 9600 cu ft</t>
  </si>
  <si>
    <t>CNG: 2 left, 2 right, fwd of axle</t>
  </si>
  <si>
    <t>LOT A (Item 3-EV)</t>
  </si>
  <si>
    <t>Type A-2, DRW, Cutaway, 4 Rows
(Electric; Minimum 20 Pupils, Maximum 23 Pupils)</t>
  </si>
  <si>
    <t>Information to provide in Column F</t>
  </si>
  <si>
    <t>JJE TM5145 Permanent
Magnet Synchronous Motor  Peak Torque 1,253 Ft.Lb. Continuous Power 170kW Peak Power 280kW Voltage</t>
  </si>
  <si>
    <t>2042-NY-22-00WC-TBB</t>
  </si>
  <si>
    <t xml:space="preserve">Chassis Model Year </t>
  </si>
  <si>
    <t>The Model Year, (e.g. 2022, 2023), of the Chassis</t>
  </si>
  <si>
    <t>The Make, (e.g. Ford, General Motors, International, Freightliner), of the Chassis</t>
  </si>
  <si>
    <t>The Model name (e.g., Transit T-350, 4500, HC, M2) of the Chassis</t>
  </si>
  <si>
    <t>E-450</t>
  </si>
  <si>
    <t xml:space="preserve">The Model Code (i.e., the OEM code used to identify a particular subset of a Model) of the Chassis, if applicable </t>
  </si>
  <si>
    <t>E-Series</t>
  </si>
  <si>
    <t xml:space="preserve">Body Model Year </t>
  </si>
  <si>
    <t>The Model Year or Current Production Year, (e.g. 2022, 2023) of the Body</t>
  </si>
  <si>
    <t>The Make (e.g. Microbird, Collins, Starcraft, Trans Tech) of the Body</t>
  </si>
  <si>
    <t>The the Model name (e.g., T-Series, MB-II, Minotour, Roadstar) of the Body</t>
  </si>
  <si>
    <t>The Model Code (i.e., the OEM code used to identify a particular subset of a Model) of the Body, if applicable</t>
  </si>
  <si>
    <t>The dollar amount, per School Bus, that will be deducted from the Base Item NYS Contract Prices, if the Authorized User elects to pick up the School Bus at the Contractor's location.</t>
  </si>
  <si>
    <t xml:space="preserve">The estimated delivery time for the School Bus bid, expressed in number of calendar days (e.g., "90-120 days"), required to make delivery after receipt of a final Purchase Order (After Receipt of Order (“ARO”)).  </t>
  </si>
  <si>
    <t>210-365 days</t>
  </si>
  <si>
    <r>
      <t xml:space="preserve">Enter the minimum percentage amount that shall be deducted from the MSRP for all Additional Options purchased under the Contract for this Item (see IFB Section 6.5.2 </t>
    </r>
    <r>
      <rPr>
        <i/>
        <sz val="10"/>
        <rFont val="Arial"/>
        <family val="2"/>
      </rPr>
      <t>Additional Options Price</t>
    </r>
    <r>
      <rPr>
        <sz val="10"/>
        <rFont val="Arial"/>
        <family val="2"/>
      </rPr>
      <t xml:space="preserve">). [Enter a number only (e.g., 5.5); Do not type a percentage sign (%) after the number; For 5.5%, enter 5.5, not 0.055]. The Additional Options NYS Discount entered by a Bidder must be greater than 0%, or less than or equal to 100%. </t>
    </r>
  </si>
  <si>
    <t>Spec for Equipment Provided</t>
  </si>
  <si>
    <t>Minimum four (4) rows for twenty (20) Pupils with a maximum of twenty-three (23) Pupils.</t>
  </si>
  <si>
    <t>LT225/75RX16-E</t>
  </si>
  <si>
    <t xml:space="preserve">Front radial tires capacity (per tire)
 [_____,_____-lbs]:
</t>
  </si>
  <si>
    <t xml:space="preserve">Rear radial tires capacity (per tire)
 [_____,_____-lbs:
</t>
  </si>
  <si>
    <t>T68</t>
  </si>
  <si>
    <t>Hankook All Season</t>
  </si>
  <si>
    <t>N/A - No Transmission</t>
  </si>
  <si>
    <t>Propulsion system battery(ies) must meet Federal Motor Vehicle Safety Standards (FMVSS) at the time of manufacture.</t>
  </si>
  <si>
    <t>Lithium-ion</t>
  </si>
  <si>
    <t>Units shall have headlights turned on when the propulsion system is on.</t>
  </si>
  <si>
    <t xml:space="preserve">Seat belts must be compliant with Federal Motor Vehicle Safety Standards (FMVSS) at the time of manufacture and be compliant with the NYS Vehicle and Traffic Law, NYS Transportation Law and 17 NYRCRR 720s.    </t>
  </si>
  <si>
    <t xml:space="preserve">All units with a capacity of ten (10) or more Pupils shall be equipped with exterior reflective markings as required by FMVSS (49 CFR 571.217) and NYCRR (Title 15,
Department of Motor Vehicles, Part D, 46.12).  </t>
  </si>
  <si>
    <t xml:space="preserve">Manufacturer's standard insulated floor design shall be provided throughout the School Bus that is compliant with 17 NYCRR 720s.   </t>
  </si>
  <si>
    <t>Provide information on power source for heater unit(s). (Propulsion Battery(ies), Auxiliary Battery(ies) or Fuel Source)</t>
  </si>
  <si>
    <t>Propulision Battery</t>
  </si>
  <si>
    <t>PART 4: Optional Equipment Specifications and Pricing</t>
  </si>
  <si>
    <r>
      <t xml:space="preserve">All Optional Equipment listed in Part 4: </t>
    </r>
    <r>
      <rPr>
        <b/>
        <i/>
        <sz val="10"/>
        <rFont val="Arial"/>
        <family val="2"/>
      </rPr>
      <t xml:space="preserve">Optional Equipment Specifications and Pricing </t>
    </r>
    <r>
      <rPr>
        <b/>
        <sz val="10"/>
        <rFont val="Arial"/>
        <family val="2"/>
      </rPr>
      <t>shall be available from the Contractor for installation on the School Bus Award for the applicable Base Item.</t>
    </r>
  </si>
  <si>
    <t>Optional Equipment NYS Contract Price</t>
  </si>
  <si>
    <t>Shall be the Child Check-mate System Model EP 2, EP 2 Plus, or Compatible Equivalent.</t>
  </si>
  <si>
    <t>The manufacturer’s standard device or system (e.g., power-lock, limited-slip, no-spin, positive-traction or electronic stability control, traction control or equivalent system that meets FMVSS).</t>
  </si>
  <si>
    <t>Snow tread, tubeless, radial tires shall be provided on all drive wheels as specified or recommended by the OEM manufacturer for snow tires or compatible equivalent.   At minimum, tires shall have a tire designation of S+M, S/T or STC (Snow Traction Capability) and be equivalent in load range and mileage ratings to tires in base specification.   The price entered for this Optional Equipment shall be for four (4) tires.</t>
  </si>
  <si>
    <t xml:space="preserve">Rear radial tires capacity (per tire)
 [_____,_____-lbs]:
</t>
  </si>
  <si>
    <t>All-season tread, tubeless, radial tires shall be provided as specified or recommended by the OEM Manufacturer for all season tires or compatible equivalent.    At minimum, tires shall have a tire designation of S+M and shall be equivalent in load range and mileage ratings to tires in base specification.   The price entered for this Optional Equipment shall be for six (6) tires.</t>
  </si>
  <si>
    <t>Provide information on power source for heater unit. (Propulsion Battery(ies), Auxiliary Battery(ies) or Fuel Source)</t>
  </si>
  <si>
    <r>
      <t xml:space="preserve">The unit shall be the Body manufacturer's typical recessed mounting track on a raised flat floor throughout the entire passenger area to rear of front wheel wells, with tracks that would allow for multiple configurations of seats and wheelchair tie down positions that can be readily changed. Unit does NOT include mounting upgrades for seating mounts to be compatible with the track, wheelchair restraints, or seats.
Insulated flooring contiguous to all track inserts shall be a non-hazardous material that is either not susceptible to, or is treated to prevent, decay and dry-rot. Additionally, the contiguous joint(s) between the floor pan and/or its insulating floor materials and/or rubber finish flooring shall have a non-hazardous adhesive/sealant that prevents moisture from migrating to any adjacent untreated floor-insulating materials that are subject to rotting.
</t>
    </r>
    <r>
      <rPr>
        <b/>
        <i/>
        <sz val="10"/>
        <rFont val="Arial"/>
        <family val="2"/>
      </rPr>
      <t>Note: "Floor (Flat) With Recessed Wheelchair Track Throughout Entire Body" is not a mandatory Optional Equipment, and is not included in the "Total Optional Equipment Evaluation Price" calculated in Column J. If "Floor (Flat) With Recessed Wheelchair Track Throughout Entire Body" is not available for the School Bus bid, enter "Not Available" in Column H.</t>
    </r>
  </si>
  <si>
    <t xml:space="preserve">Delete exterior LED lamps and replace with incadescent exterior lamps that are compliant with FMVSS, NYS Vehicle and Traffic Law, NYS Transportation Law and 17 NYCRR 720s. </t>
  </si>
  <si>
    <t>A (Item 3-EV)</t>
  </si>
  <si>
    <t>Lot A (Item 3-EV): Type A-2, DRW, Cutaway, 4 Rows</t>
  </si>
  <si>
    <t>Type A-2, DRW, Cutaway, 4 Rows
(Electric; Minimum 24 Pupils, Maxium 29 Pupils)</t>
  </si>
  <si>
    <t>2040-NY-24-00WC-TBB</t>
  </si>
  <si>
    <t>Minimum four (4) rows for twenty-four (24) Pupils with a maximum of twenty-nine (29) Pupils.</t>
  </si>
  <si>
    <t xml:space="preserve">Propulsion system battery(ies) must meet Federal Motor Vehicle Safety Standards (FMVSS) at the time of manufacture.   </t>
  </si>
  <si>
    <t>Make &amp; Model</t>
  </si>
  <si>
    <t>2, Propulision Battery</t>
  </si>
  <si>
    <t>PART 1:  Product information for the Base Item(s) Awarded</t>
  </si>
  <si>
    <t>Information to provide in Yellow Cells</t>
  </si>
  <si>
    <t>Information identifying the Make and Model propulsion system offered.</t>
  </si>
  <si>
    <t xml:space="preserve">The Make (e.g. Microbird, Collins, Starcraft, Trans Tech) of the Body </t>
  </si>
  <si>
    <t>The Model name (e.g., T-Series, MB-II, Minotour, Roadstar) of the Body</t>
  </si>
  <si>
    <t xml:space="preserve">The dollar amount, per School Bus, that will be deducted from the Base Item NYS Contract Prices , if the Authorized User elects to pick up the School Bus at the Contractor's location. </t>
  </si>
  <si>
    <t xml:space="preserve">The estimated delivery time for the School Bus, expressed in number of calendar days (e.g., "90-120 days"), required to make delivery after receipt of a final Purchase Order (After Receipt of Order (“ARO”)).  </t>
  </si>
  <si>
    <t>Optional equipment and Base Equipment listed in Part 5 is included for informational purposes only and is non-mandatory.</t>
  </si>
  <si>
    <t>LOT C (Item 2-EV)</t>
  </si>
  <si>
    <t>Type C, 46 Pupil Conventional Bus 
(Electric, Minimum 46 Pupils, Maximum 57 Pupils)</t>
  </si>
  <si>
    <t>Cummins Meritor 14Xe-
eAxle. 3 Phase/450-750v 250kW Peak HP/180 kW Continuous HP</t>
  </si>
  <si>
    <t>2043-NY-48-00WC-TBB</t>
  </si>
  <si>
    <t>Enter the per unit NYS Contract Price (dollar amount) for the School Bus described in the Base Item Specifications. The Base Item NYS Contract Price includes any OEM fees, all customs duties and charges, all vehicle preparation and clean-up charges, NYS DOT inspection, installation charges, delivery and all other incidentals normally included with providing a School Bus, but excludes Optional Equipment, and Additional Options.</t>
  </si>
  <si>
    <t>A School Bus with a Body installed upon a cowl and Chassis constructed using a chassis with a hood and front fender assembly or van conversion type vehicle. The entrance door is behind the front wheels. This is also known as a conventional school bus. This type also includes the cutaway truck chassis or truck chassis with cab, with or without a left side door, and with a GVWR greater than 16,000 pounds.</t>
  </si>
  <si>
    <t xml:space="preserve">Minimum forty-six (46) Pupils with a maximum of fifty-seven (57) Pupils. </t>
  </si>
  <si>
    <t>If an air brake system is supplied, it shall be compliant with FMVSS (49 CFR 571.121), including the latest revision thereof.</t>
  </si>
  <si>
    <t>Integrated 2 spd Transmission</t>
  </si>
  <si>
    <t>Up to 148</t>
  </si>
  <si>
    <t>Alliance 1031, Group 31, 12V</t>
  </si>
  <si>
    <t>Units shall have headlights turned on when the School Bus is in operation.</t>
  </si>
  <si>
    <t xml:space="preserve">Seat belts must be compliant with Federal Motor Vehicle Safety Standards (FMVSS) at the time of manufacture and be compliant with the NYS Vehicle and Traffic Law, NYS Transportation Law and 17 NYRCRR 720s. </t>
  </si>
  <si>
    <t>Propulsion Battery System</t>
  </si>
  <si>
    <t>Child Check Mate EP2</t>
  </si>
  <si>
    <t>Electronic Stability Control with
Automatic Traction control</t>
  </si>
  <si>
    <t>Fl-094-1RK</t>
  </si>
  <si>
    <t>Braun NCL9171B-2</t>
  </si>
  <si>
    <t>Roof hatches shall provide static venting with the first unlatched position and provide a latch for release to the full opened emergency position, and be equipped with an exterior latch. Roof hatches shall be Safe Fleet Advantage hatch H1975, Spheros #550886A or 550887A, or Compatible Equivalent.</t>
  </si>
  <si>
    <t>PART 5: Non-Mandatory Optional and Base Equipment Pricing</t>
  </si>
  <si>
    <t>GM</t>
  </si>
  <si>
    <t>Optional equipment and Base Equipment listed in Part 5 is included for informational purposes only and is non-mandatory. Pricing for these items is not included in the Grand Total For Item calculated above.</t>
  </si>
  <si>
    <t>The per unit NYS Contract Price (dollar amount) for adding one (1) Additional Body Section, excluding seats and other interior features, to the Base Item and the applicable Base Item NYS Contract Price.</t>
  </si>
  <si>
    <t>PART 5: Non-Mandatory Optional and Base Equipment Specifications and Pricing</t>
  </si>
  <si>
    <t>The information identifying the Make and Model propulsion system offered.</t>
  </si>
  <si>
    <t xml:space="preserve">The NYS DOT Approval Number for the School Bus bid. Only School Buses approved by NYS DOT Passenger Carrier Safety Bureau for use as 2022 and newer Models, as indicated by a NYS DOT Approval Number, shall be delivered pursuant to the Contract. </t>
  </si>
  <si>
    <t>PART 2: Pricing for the Base Item, and Additional Options</t>
  </si>
  <si>
    <t>The Make (e.g. IC, Blue Bird, Thomas) of the Body</t>
  </si>
  <si>
    <t>The Model name (e.g., CE, Vision, C2) of the Body</t>
  </si>
  <si>
    <t>Non-Mandatory Optional Equipment NYS Contract Price</t>
  </si>
  <si>
    <t>A (Item 4-EV)</t>
  </si>
  <si>
    <t>Lot A (Item 4-EV): Type A-2, DRW, Cutaway, 4 Rows</t>
  </si>
  <si>
    <t>C (Item 2-EV)</t>
  </si>
  <si>
    <t xml:space="preserve">Lot C (Item 2-EV): Type C, Conventional Bus </t>
  </si>
  <si>
    <t>CSI HD Electric Scroll</t>
  </si>
  <si>
    <t>11R22.5 (H)</t>
  </si>
  <si>
    <t>07/2025 PPI</t>
  </si>
  <si>
    <t>Lot A (4-EV)</t>
  </si>
  <si>
    <t>Lot A 3-EV, Lot A 4-EV, &amp; Lot C 2-EV PPI Price Adj (Added Jul 2025)</t>
  </si>
  <si>
    <t>Hide tab before posting</t>
  </si>
  <si>
    <t>PART 5: Non-Mandatory Optional and Base Equipment</t>
  </si>
  <si>
    <t>Information provided in Column F</t>
  </si>
  <si>
    <r>
      <t xml:space="preserve">The unit shall be the Body manufacturer's typical recessed mounting track on a raised flat floor throughout the entire passenger area to rear of front wheel wells, with tracks that would allow for multiple configurations of seats and wheelchair tie down positions that can be readily changed. Unit does NOT include mounting upgrades for seating mounts to be compatible with the track, wheelchair restraints, or seats.
Insulated flooring contiguous to all track inserts shall be a non-hazardous material that is either not susceptible to, or is treated to prevent, decay and dry-rot. Additionally, the contiguous joint(s) between the floor pan and/or its insulating floor materials and/or rubber finish flooring shall have a non-hazardous adhesive/sealant that prevents moisture from migrating to any adjacent untreated floor-insulating materials that are subject to rotting.
</t>
    </r>
    <r>
      <rPr>
        <b/>
        <i/>
        <sz val="10"/>
        <rFont val="Arial"/>
        <family val="2"/>
      </rPr>
      <t>Note: "Floor (Flat) With Recessed Wheelchair Track Throughout Entire Body" is not a mandatory Optional Equipment.</t>
    </r>
  </si>
  <si>
    <t>10/2026 PPI</t>
  </si>
  <si>
    <r>
      <t xml:space="preserve">GROUP 40524-23254, SCHOOL BUSES (Statewide)                                                             Attachment 1 - </t>
    </r>
    <r>
      <rPr>
        <b/>
        <i/>
        <sz val="10"/>
        <rFont val="Arial"/>
        <family val="2"/>
      </rPr>
      <t>Specifications and Pricing</t>
    </r>
    <r>
      <rPr>
        <b/>
        <sz val="10"/>
        <rFont val="Arial"/>
        <family val="2"/>
      </rPr>
      <t xml:space="preserve"> (Revised October 15, 2026)</t>
    </r>
  </si>
  <si>
    <r>
      <t xml:space="preserve">Group 40524-23254, SCHOOL BUSES (Statewide)
Attachment 1 - </t>
    </r>
    <r>
      <rPr>
        <b/>
        <i/>
        <sz val="18"/>
        <rFont val="Arial"/>
        <family val="2"/>
      </rPr>
      <t>Specifications and Pricing</t>
    </r>
    <r>
      <rPr>
        <b/>
        <sz val="18"/>
        <rFont val="Arial"/>
        <family val="2"/>
      </rPr>
      <t xml:space="preserve"> (Revised October 15,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</si>
</sst>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4" formatCode="_(&quot;$&quot;* #,##0.00_);_(&quot;$&quot;* \(#,##0.00\);_(&quot;$&quot;* &quot;-&quot;??_);_(@_)"/>
    <numFmt numFmtId="164" formatCode="&quot;$&quot;#,##0.00"/>
    <numFmt numFmtId="165" formatCode="0.000"/>
    <numFmt numFmtId="166" formatCode="0.0"/>
    <numFmt numFmtId="167" formatCode="0.0000"/>
  </numFmts>
  <fonts count="25" x14ac:knownFonts="1">
    <font>
      <sz val="11"/>
      <color theme="1"/>
      <name val="Calibri"/>
      <family val="2"/>
      <scheme val="minor"/>
    </font>
    <font>
      <sz val="11"/>
      <color theme="1"/>
      <name val="Calibri"/>
      <family val="2"/>
      <scheme val="minor"/>
    </font>
    <font>
      <b/>
      <sz val="18"/>
      <name val="Arial"/>
      <family val="2"/>
    </font>
    <font>
      <b/>
      <sz val="16"/>
      <name val="Arial"/>
      <family val="2"/>
    </font>
    <font>
      <sz val="10"/>
      <name val="Arial"/>
      <family val="2"/>
    </font>
    <font>
      <b/>
      <sz val="10"/>
      <name val="Arial"/>
      <family val="2"/>
    </font>
    <font>
      <i/>
      <sz val="10"/>
      <name val="Arial"/>
      <family val="2"/>
    </font>
    <font>
      <b/>
      <sz val="12"/>
      <name val="Arial"/>
      <family val="2"/>
    </font>
    <font>
      <b/>
      <sz val="18"/>
      <color theme="0"/>
      <name val="Arial"/>
      <family val="2"/>
    </font>
    <font>
      <sz val="12"/>
      <name val="Arial"/>
      <family val="2"/>
    </font>
    <font>
      <sz val="11"/>
      <name val="Arial"/>
      <family val="2"/>
    </font>
    <font>
      <b/>
      <u/>
      <sz val="10"/>
      <name val="Arial"/>
      <family val="2"/>
    </font>
    <font>
      <sz val="14"/>
      <name val="Arial"/>
      <family val="2"/>
    </font>
    <font>
      <b/>
      <sz val="11"/>
      <name val="Arial"/>
      <family val="2"/>
    </font>
    <font>
      <b/>
      <i/>
      <sz val="18"/>
      <name val="Arial"/>
      <family val="2"/>
    </font>
    <font>
      <b/>
      <i/>
      <sz val="10"/>
      <name val="Arial"/>
      <family val="2"/>
    </font>
    <font>
      <b/>
      <sz val="11"/>
      <color theme="3"/>
      <name val="Calibri"/>
      <family val="2"/>
      <scheme val="minor"/>
    </font>
    <font>
      <u/>
      <sz val="11"/>
      <color theme="10"/>
      <name val="Calibri"/>
      <family val="2"/>
      <scheme val="minor"/>
    </font>
    <font>
      <b/>
      <sz val="11"/>
      <name val="Calibri"/>
      <family val="2"/>
      <scheme val="minor"/>
    </font>
    <font>
      <sz val="11"/>
      <name val="Calibri"/>
      <family val="2"/>
      <scheme val="minor"/>
    </font>
    <font>
      <sz val="11"/>
      <name val="Calibri"/>
      <family val="2"/>
    </font>
    <font>
      <sz val="8"/>
      <name val="Calibri"/>
      <family val="2"/>
      <scheme val="minor"/>
    </font>
    <font>
      <sz val="10"/>
      <color theme="5" tint="0.39997558519241921"/>
      <name val="Arial"/>
      <family val="2"/>
    </font>
    <font>
      <sz val="10"/>
      <color rgb="FF000000"/>
      <name val="Times New Roman"/>
      <family val="1"/>
    </font>
    <font>
      <sz val="10"/>
      <color rgb="FF000000"/>
      <name val="Arial"/>
      <family val="2"/>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FF66"/>
        <bgColor indexed="64"/>
      </patternFill>
    </fill>
    <fill>
      <patternFill patternType="solid">
        <fgColor rgb="FFD9D9D9"/>
        <bgColor indexed="64"/>
      </patternFill>
    </fill>
    <fill>
      <patternFill patternType="solid">
        <fgColor rgb="FF7030A0"/>
        <bgColor indexed="64"/>
      </patternFill>
    </fill>
    <fill>
      <patternFill patternType="solid">
        <fgColor rgb="FFCC66FF"/>
        <bgColor indexed="64"/>
      </patternFill>
    </fill>
    <fill>
      <patternFill patternType="solid">
        <fgColor theme="5" tint="0.59999389629810485"/>
        <bgColor indexed="64"/>
      </patternFill>
    </fill>
    <fill>
      <patternFill patternType="solid">
        <fgColor theme="5"/>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8"/>
        <bgColor indexed="64"/>
      </patternFill>
    </fill>
    <fill>
      <patternFill patternType="solid">
        <fgColor rgb="FFFFFF66"/>
      </patternFill>
    </fill>
    <fill>
      <patternFill patternType="solid">
        <fgColor rgb="FFFFFF00"/>
        <bgColor indexed="64"/>
      </patternFill>
    </fill>
  </fills>
  <borders count="10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ck">
        <color indexed="64"/>
      </top>
      <bottom style="thick">
        <color indexed="64"/>
      </bottom>
      <diagonal/>
    </border>
    <border>
      <left/>
      <right/>
      <top style="thick">
        <color indexed="64"/>
      </top>
      <bottom style="thick">
        <color indexed="64"/>
      </bottom>
      <diagonal/>
    </border>
    <border>
      <left style="thin">
        <color indexed="64"/>
      </left>
      <right/>
      <top style="medium">
        <color indexed="64"/>
      </top>
      <bottom style="thin">
        <color indexed="64"/>
      </bottom>
      <diagonal/>
    </border>
    <border>
      <left style="thin">
        <color indexed="64"/>
      </left>
      <right/>
      <top style="thin">
        <color indexed="64"/>
      </top>
      <bottom style="thick">
        <color indexed="64"/>
      </bottom>
      <diagonal/>
    </border>
    <border>
      <left style="thin">
        <color indexed="64"/>
      </left>
      <right/>
      <top style="thick">
        <color indexed="64"/>
      </top>
      <bottom style="thin">
        <color indexed="64"/>
      </bottom>
      <diagonal/>
    </border>
    <border>
      <left style="thin">
        <color indexed="64"/>
      </left>
      <right/>
      <top style="medium">
        <color indexed="64"/>
      </top>
      <bottom style="medium">
        <color indexed="64"/>
      </bottom>
      <diagonal/>
    </border>
    <border>
      <left/>
      <right/>
      <top style="thin">
        <color indexed="64"/>
      </top>
      <bottom style="thick">
        <color indexed="64"/>
      </bottom>
      <diagonal/>
    </border>
    <border>
      <left/>
      <right/>
      <top style="thick">
        <color indexed="64"/>
      </top>
      <bottom style="thin">
        <color indexed="64"/>
      </bottom>
      <diagonal/>
    </border>
    <border>
      <left style="thin">
        <color indexed="64"/>
      </left>
      <right/>
      <top style="medium">
        <color indexed="64"/>
      </top>
      <bottom style="thick">
        <color indexed="64"/>
      </bottom>
      <diagonal/>
    </border>
    <border>
      <left/>
      <right/>
      <top style="medium">
        <color indexed="64"/>
      </top>
      <bottom style="thick">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ck">
        <color indexed="64"/>
      </bottom>
      <diagonal/>
    </border>
    <border>
      <left/>
      <right style="medium">
        <color indexed="64"/>
      </right>
      <top style="thick">
        <color indexed="64"/>
      </top>
      <bottom style="thick">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thick">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ck">
        <color indexed="64"/>
      </bottom>
      <diagonal/>
    </border>
    <border>
      <left style="medium">
        <color indexed="64"/>
      </left>
      <right style="thin">
        <color indexed="64"/>
      </right>
      <top style="thick">
        <color indexed="64"/>
      </top>
      <bottom style="thick">
        <color indexed="64"/>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ck">
        <color indexed="64"/>
      </bottom>
      <diagonal/>
    </border>
    <border>
      <left style="medium">
        <color indexed="64"/>
      </left>
      <right style="thin">
        <color indexed="64"/>
      </right>
      <top/>
      <bottom style="thick">
        <color indexed="64"/>
      </bottom>
      <diagonal/>
    </border>
    <border>
      <left/>
      <right style="medium">
        <color indexed="64"/>
      </right>
      <top style="thick">
        <color indexed="64"/>
      </top>
      <bottom style="thin">
        <color indexed="64"/>
      </bottom>
      <diagonal/>
    </border>
    <border>
      <left style="thin">
        <color indexed="64"/>
      </left>
      <right style="medium">
        <color indexed="64"/>
      </right>
      <top style="thick">
        <color indexed="64"/>
      </top>
      <bottom style="thick">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ck">
        <color indexed="64"/>
      </bottom>
      <diagonal/>
    </border>
    <border>
      <left style="thin">
        <color indexed="64"/>
      </left>
      <right style="medium">
        <color indexed="64"/>
      </right>
      <top/>
      <bottom style="thick">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ck">
        <color indexed="64"/>
      </top>
      <bottom style="thick">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ck">
        <color indexed="64"/>
      </bottom>
      <diagonal/>
    </border>
    <border>
      <left style="medium">
        <color indexed="64"/>
      </left>
      <right style="medium">
        <color indexed="64"/>
      </right>
      <top/>
      <bottom style="thick">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diagonal/>
    </border>
    <border>
      <left/>
      <right/>
      <top/>
      <bottom style="medium">
        <color theme="4" tint="0.39997558519241921"/>
      </bottom>
      <diagonal/>
    </border>
    <border>
      <left/>
      <right style="medium">
        <color indexed="64"/>
      </right>
      <top/>
      <bottom style="thick">
        <color indexed="64"/>
      </bottom>
      <diagonal/>
    </border>
    <border>
      <left style="medium">
        <color indexed="64"/>
      </left>
      <right style="medium">
        <color indexed="64"/>
      </right>
      <top style="thin">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ck">
        <color indexed="64"/>
      </bottom>
      <diagonal/>
    </border>
    <border>
      <left style="medium">
        <color indexed="64"/>
      </left>
      <right style="medium">
        <color indexed="64"/>
      </right>
      <top style="thick">
        <color indexed="64"/>
      </top>
      <bottom style="medium">
        <color indexed="64"/>
      </bottom>
      <diagonal/>
    </border>
    <border>
      <left style="thin">
        <color indexed="64"/>
      </left>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n">
        <color indexed="64"/>
      </right>
      <top style="thin">
        <color indexed="64"/>
      </top>
      <bottom style="thick">
        <color indexed="64"/>
      </bottom>
      <diagonal/>
    </border>
    <border>
      <left/>
      <right/>
      <top/>
      <bottom style="thin">
        <color indexed="64"/>
      </bottom>
      <diagonal/>
    </border>
    <border>
      <left style="thin">
        <color indexed="64"/>
      </left>
      <right style="thin">
        <color indexed="64"/>
      </right>
      <top/>
      <bottom style="thick">
        <color indexed="64"/>
      </bottom>
      <diagonal/>
    </border>
    <border>
      <left style="thin">
        <color indexed="64"/>
      </left>
      <right/>
      <top style="thick">
        <color indexed="64"/>
      </top>
      <bottom style="medium">
        <color indexed="64"/>
      </bottom>
      <diagonal/>
    </border>
    <border>
      <left/>
      <right/>
      <top style="thick">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ck">
        <color indexed="64"/>
      </top>
      <bottom style="medium">
        <color indexed="64"/>
      </bottom>
      <diagonal/>
    </border>
    <border>
      <left style="thin">
        <color indexed="64"/>
      </left>
      <right/>
      <top style="medium">
        <color indexed="64"/>
      </top>
      <bottom/>
      <diagonal/>
    </border>
    <border>
      <left/>
      <right style="medium">
        <color indexed="64"/>
      </right>
      <top/>
      <bottom/>
      <diagonal/>
    </border>
    <border>
      <left/>
      <right style="medium">
        <color indexed="64"/>
      </right>
      <top style="thin">
        <color indexed="64"/>
      </top>
      <bottom/>
      <diagonal/>
    </border>
    <border>
      <left style="medium">
        <color indexed="64"/>
      </left>
      <right style="medium">
        <color indexed="64"/>
      </right>
      <top style="thin">
        <color rgb="FF000000"/>
      </top>
      <bottom style="thin">
        <color rgb="FF000000"/>
      </bottom>
      <diagonal/>
    </border>
  </borders>
  <cellStyleXfs count="7">
    <xf numFmtId="0" fontId="0" fillId="0" borderId="0"/>
    <xf numFmtId="44" fontId="1" fillId="0" borderId="0" applyFont="0" applyFill="0" applyBorder="0" applyAlignment="0" applyProtection="0"/>
    <xf numFmtId="0" fontId="4" fillId="0" borderId="0"/>
    <xf numFmtId="0" fontId="16" fillId="0" borderId="79" applyNumberFormat="0" applyFill="0" applyAlignment="0" applyProtection="0"/>
    <xf numFmtId="0" fontId="17" fillId="0" borderId="0" applyNumberFormat="0" applyFill="0" applyBorder="0" applyAlignment="0" applyProtection="0"/>
    <xf numFmtId="9" fontId="1" fillId="0" borderId="0" applyFont="0" applyFill="0" applyBorder="0" applyAlignment="0" applyProtection="0"/>
    <xf numFmtId="0" fontId="23" fillId="0" borderId="0"/>
  </cellStyleXfs>
  <cellXfs count="541">
    <xf numFmtId="0" fontId="0" fillId="0" borderId="0" xfId="0"/>
    <xf numFmtId="0" fontId="4" fillId="0" borderId="0" xfId="1" applyNumberFormat="1" applyFont="1" applyFill="1" applyBorder="1" applyAlignment="1" applyProtection="1">
      <alignment horizontal="left" vertical="top" wrapText="1"/>
    </xf>
    <xf numFmtId="0" fontId="4" fillId="0" borderId="0" xfId="0" applyFont="1"/>
    <xf numFmtId="0" fontId="4" fillId="0" borderId="0" xfId="0" applyFont="1" applyAlignment="1">
      <alignment horizontal="left" vertical="center"/>
    </xf>
    <xf numFmtId="0" fontId="4" fillId="0" borderId="0" xfId="0" applyFont="1" applyAlignment="1">
      <alignment vertical="center"/>
    </xf>
    <xf numFmtId="0" fontId="4" fillId="0" borderId="0" xfId="0" applyFont="1" applyAlignment="1">
      <alignment horizontal="right"/>
    </xf>
    <xf numFmtId="0" fontId="4" fillId="0" borderId="0" xfId="0" applyFont="1" applyAlignment="1">
      <alignment vertical="top"/>
    </xf>
    <xf numFmtId="0" fontId="9" fillId="0" borderId="0" xfId="0" applyFont="1"/>
    <xf numFmtId="164" fontId="5" fillId="2" borderId="0" xfId="0" applyNumberFormat="1" applyFont="1" applyFill="1" applyAlignment="1">
      <alignment vertical="center" wrapText="1"/>
    </xf>
    <xf numFmtId="0" fontId="4" fillId="0" borderId="0" xfId="0" applyFont="1" applyAlignment="1">
      <alignment wrapText="1"/>
    </xf>
    <xf numFmtId="0" fontId="4" fillId="0" borderId="0" xfId="0" applyFont="1" applyAlignment="1">
      <alignment horizontal="right" wrapText="1"/>
    </xf>
    <xf numFmtId="0" fontId="9" fillId="0" borderId="0" xfId="0" applyFont="1" applyAlignment="1">
      <alignment wrapText="1"/>
    </xf>
    <xf numFmtId="0" fontId="4" fillId="0" borderId="0" xfId="0" applyFont="1" applyAlignment="1">
      <alignment horizontal="left" vertical="top" wrapText="1"/>
    </xf>
    <xf numFmtId="0" fontId="4" fillId="2" borderId="1" xfId="0" applyFont="1" applyFill="1" applyBorder="1" applyAlignment="1" applyProtection="1">
      <alignment horizontal="left" vertical="top" wrapText="1"/>
      <protection locked="0"/>
    </xf>
    <xf numFmtId="0" fontId="4" fillId="2" borderId="13" xfId="2" applyFill="1" applyBorder="1" applyAlignment="1">
      <alignment horizontal="left" vertical="top" wrapText="1"/>
    </xf>
    <xf numFmtId="0" fontId="12" fillId="0" borderId="0" xfId="0" applyFont="1"/>
    <xf numFmtId="0" fontId="4" fillId="0" borderId="13" xfId="2" applyBorder="1" applyAlignment="1">
      <alignment vertical="top" wrapText="1"/>
    </xf>
    <xf numFmtId="0" fontId="4" fillId="2" borderId="14" xfId="2" applyFill="1" applyBorder="1" applyAlignment="1">
      <alignment horizontal="left" vertical="top" wrapText="1"/>
    </xf>
    <xf numFmtId="0" fontId="5" fillId="3" borderId="1" xfId="0" applyFont="1" applyFill="1" applyBorder="1" applyAlignment="1">
      <alignment horizontal="left" vertical="center" wrapText="1"/>
    </xf>
    <xf numFmtId="0" fontId="5" fillId="0" borderId="0" xfId="0" applyFont="1" applyAlignment="1">
      <alignment vertical="top"/>
    </xf>
    <xf numFmtId="49" fontId="5" fillId="0" borderId="0" xfId="0" applyNumberFormat="1" applyFont="1" applyAlignment="1">
      <alignment vertical="top"/>
    </xf>
    <xf numFmtId="0" fontId="5" fillId="3" borderId="31" xfId="0" applyFont="1" applyFill="1" applyBorder="1" applyAlignment="1">
      <alignment vertical="center" wrapText="1"/>
    </xf>
    <xf numFmtId="0" fontId="4" fillId="0" borderId="17" xfId="2" applyBorder="1" applyAlignment="1">
      <alignment horizontal="left" vertical="top" wrapText="1"/>
    </xf>
    <xf numFmtId="0" fontId="4" fillId="0" borderId="14" xfId="2" applyBorder="1" applyAlignment="1">
      <alignment horizontal="left" vertical="top" wrapText="1"/>
    </xf>
    <xf numFmtId="0" fontId="4" fillId="0" borderId="13" xfId="2" applyBorder="1" applyAlignment="1">
      <alignment horizontal="left" vertical="top" wrapText="1"/>
    </xf>
    <xf numFmtId="0" fontId="5" fillId="3" borderId="28" xfId="0" applyFont="1" applyFill="1" applyBorder="1" applyAlignment="1">
      <alignment horizontal="left" vertical="center" wrapText="1"/>
    </xf>
    <xf numFmtId="0" fontId="5" fillId="3" borderId="32" xfId="0" applyFont="1" applyFill="1" applyBorder="1" applyAlignment="1">
      <alignment vertical="center" wrapText="1"/>
    </xf>
    <xf numFmtId="0" fontId="5" fillId="3" borderId="6" xfId="0" applyFont="1" applyFill="1" applyBorder="1" applyAlignment="1">
      <alignment horizontal="left" vertical="center" wrapText="1"/>
    </xf>
    <xf numFmtId="0" fontId="4" fillId="0" borderId="0" xfId="0" applyFont="1" applyAlignment="1">
      <alignment horizontal="right" vertical="top" wrapText="1"/>
    </xf>
    <xf numFmtId="0" fontId="4" fillId="0" borderId="0" xfId="0" quotePrefix="1" applyFont="1" applyAlignment="1" applyProtection="1">
      <alignment horizontal="right" vertical="top" wrapText="1"/>
      <protection locked="0"/>
    </xf>
    <xf numFmtId="164" fontId="7" fillId="0" borderId="0" xfId="0" applyNumberFormat="1" applyFont="1" applyAlignment="1">
      <alignment vertical="center"/>
    </xf>
    <xf numFmtId="0" fontId="5" fillId="0" borderId="0" xfId="0" applyFont="1" applyAlignment="1">
      <alignment vertical="center" wrapText="1"/>
    </xf>
    <xf numFmtId="164" fontId="7" fillId="0" borderId="0" xfId="0" applyNumberFormat="1" applyFont="1" applyAlignment="1">
      <alignment vertical="center" wrapText="1"/>
    </xf>
    <xf numFmtId="0" fontId="5" fillId="0" borderId="0" xfId="0" applyFont="1" applyAlignment="1">
      <alignment horizontal="left" vertical="center" wrapText="1"/>
    </xf>
    <xf numFmtId="0" fontId="5" fillId="3" borderId="35" xfId="0" applyFont="1" applyFill="1" applyBorder="1" applyAlignment="1">
      <alignment vertical="center" wrapText="1"/>
    </xf>
    <xf numFmtId="0" fontId="5" fillId="3" borderId="40" xfId="0" applyFont="1" applyFill="1" applyBorder="1" applyAlignment="1">
      <alignment horizontal="left" vertical="center" wrapText="1"/>
    </xf>
    <xf numFmtId="0" fontId="5" fillId="0" borderId="41" xfId="0" applyFont="1" applyBorder="1" applyAlignment="1">
      <alignment horizontal="left" vertical="top" wrapText="1"/>
    </xf>
    <xf numFmtId="0" fontId="5" fillId="0" borderId="43" xfId="0" applyFont="1" applyBorder="1" applyAlignment="1">
      <alignment horizontal="left" vertical="top" wrapText="1"/>
    </xf>
    <xf numFmtId="0" fontId="5" fillId="0" borderId="44" xfId="0" applyFont="1" applyBorder="1" applyAlignment="1">
      <alignment horizontal="left" vertical="top" wrapText="1"/>
    </xf>
    <xf numFmtId="0" fontId="5" fillId="0" borderId="45" xfId="0" applyFont="1" applyBorder="1" applyAlignment="1">
      <alignment horizontal="left" vertical="top" wrapText="1"/>
    </xf>
    <xf numFmtId="0" fontId="5" fillId="0" borderId="54" xfId="0" applyFont="1" applyBorder="1" applyAlignment="1">
      <alignment horizontal="left" vertical="top" wrapText="1"/>
    </xf>
    <xf numFmtId="0" fontId="5" fillId="0" borderId="58" xfId="0" applyFont="1" applyBorder="1" applyAlignment="1">
      <alignment horizontal="left" vertical="top" wrapText="1"/>
    </xf>
    <xf numFmtId="0" fontId="5" fillId="3" borderId="7" xfId="0" applyFont="1" applyFill="1" applyBorder="1" applyAlignment="1">
      <alignment horizontal="left" vertical="center" wrapText="1"/>
    </xf>
    <xf numFmtId="0" fontId="4" fillId="0" borderId="63" xfId="2" applyBorder="1" applyAlignment="1">
      <alignment horizontal="left" vertical="top" wrapText="1"/>
    </xf>
    <xf numFmtId="0" fontId="4" fillId="0" borderId="15" xfId="2" applyBorder="1" applyAlignment="1">
      <alignment horizontal="left" vertical="top" wrapText="1"/>
    </xf>
    <xf numFmtId="0" fontId="4" fillId="0" borderId="64" xfId="2" applyBorder="1" applyAlignment="1">
      <alignment horizontal="left" vertical="top" wrapText="1"/>
    </xf>
    <xf numFmtId="0" fontId="5" fillId="3" borderId="62" xfId="0" applyFont="1" applyFill="1" applyBorder="1" applyAlignment="1">
      <alignment horizontal="left" vertical="center" wrapText="1"/>
    </xf>
    <xf numFmtId="0" fontId="4" fillId="2" borderId="63" xfId="2" applyFill="1" applyBorder="1" applyAlignment="1">
      <alignment horizontal="left" vertical="top" wrapText="1"/>
    </xf>
    <xf numFmtId="0" fontId="4" fillId="0" borderId="15" xfId="2" applyBorder="1" applyAlignment="1">
      <alignment vertical="top" wrapText="1"/>
    </xf>
    <xf numFmtId="0" fontId="5" fillId="3" borderId="15" xfId="0" applyFont="1" applyFill="1" applyBorder="1" applyAlignment="1">
      <alignment horizontal="left" vertical="center" wrapText="1"/>
    </xf>
    <xf numFmtId="0" fontId="5" fillId="3" borderId="13" xfId="0" applyFont="1" applyFill="1" applyBorder="1" applyAlignment="1">
      <alignment horizontal="left" vertical="center" wrapText="1"/>
    </xf>
    <xf numFmtId="2" fontId="4" fillId="0" borderId="0" xfId="0" applyNumberFormat="1" applyFont="1" applyAlignment="1">
      <alignment horizontal="left" vertical="center" wrapText="1"/>
    </xf>
    <xf numFmtId="0" fontId="5" fillId="0" borderId="0" xfId="0" applyFont="1" applyAlignment="1">
      <alignment horizontal="left" vertical="top" wrapText="1"/>
    </xf>
    <xf numFmtId="0" fontId="18" fillId="0" borderId="0" xfId="3" applyFont="1" applyBorder="1" applyAlignment="1">
      <alignment horizontal="center" vertical="top"/>
    </xf>
    <xf numFmtId="165" fontId="19" fillId="0" borderId="0" xfId="0" applyNumberFormat="1" applyFont="1" applyAlignment="1">
      <alignment horizontal="center" vertical="top"/>
    </xf>
    <xf numFmtId="0" fontId="17" fillId="0" borderId="0" xfId="4" applyBorder="1" applyAlignment="1">
      <alignment horizontal="center" vertical="top"/>
    </xf>
    <xf numFmtId="2" fontId="18" fillId="0" borderId="0" xfId="3" applyNumberFormat="1" applyFont="1" applyBorder="1" applyAlignment="1">
      <alignment horizontal="center" vertical="top" wrapText="1"/>
    </xf>
    <xf numFmtId="166" fontId="19" fillId="2" borderId="0" xfId="0" applyNumberFormat="1" applyFont="1" applyFill="1" applyAlignment="1">
      <alignment horizontal="center" vertical="top"/>
    </xf>
    <xf numFmtId="166" fontId="19" fillId="0" borderId="0" xfId="0" applyNumberFormat="1" applyFont="1" applyAlignment="1">
      <alignment horizontal="center" vertical="top"/>
    </xf>
    <xf numFmtId="0" fontId="18" fillId="0" borderId="0" xfId="3" applyFont="1" applyBorder="1" applyAlignment="1">
      <alignment horizontal="center" vertical="top" wrapText="1"/>
    </xf>
    <xf numFmtId="166" fontId="20" fillId="2" borderId="0" xfId="0" applyNumberFormat="1" applyFont="1" applyFill="1" applyAlignment="1">
      <alignment horizontal="center" vertical="top"/>
    </xf>
    <xf numFmtId="167" fontId="19" fillId="2" borderId="0" xfId="0" applyNumberFormat="1" applyFont="1" applyFill="1" applyAlignment="1">
      <alignment horizontal="center" vertical="top"/>
    </xf>
    <xf numFmtId="165" fontId="18" fillId="0" borderId="0" xfId="3" applyNumberFormat="1" applyFont="1" applyBorder="1" applyAlignment="1">
      <alignment horizontal="center" vertical="top" wrapText="1"/>
    </xf>
    <xf numFmtId="165" fontId="19" fillId="2" borderId="0" xfId="0" applyNumberFormat="1" applyFont="1" applyFill="1" applyAlignment="1">
      <alignment horizontal="center" vertical="top"/>
    </xf>
    <xf numFmtId="0" fontId="5" fillId="0" borderId="0" xfId="0" applyFont="1"/>
    <xf numFmtId="164" fontId="5" fillId="0" borderId="0" xfId="1" applyNumberFormat="1" applyFont="1" applyFill="1" applyBorder="1" applyAlignment="1" applyProtection="1">
      <alignment horizontal="right" vertical="top"/>
    </xf>
    <xf numFmtId="0" fontId="4" fillId="0" borderId="0" xfId="1" applyNumberFormat="1" applyFont="1" applyFill="1" applyBorder="1" applyAlignment="1" applyProtection="1">
      <alignment vertical="top" wrapText="1"/>
    </xf>
    <xf numFmtId="0" fontId="5" fillId="3" borderId="18" xfId="0" applyFont="1" applyFill="1" applyBorder="1" applyAlignment="1">
      <alignment horizontal="left" vertical="center" wrapText="1"/>
    </xf>
    <xf numFmtId="164" fontId="7" fillId="3" borderId="6" xfId="0" applyNumberFormat="1" applyFont="1" applyFill="1" applyBorder="1" applyAlignment="1">
      <alignment horizontal="left" vertical="center" wrapText="1"/>
    </xf>
    <xf numFmtId="164" fontId="7" fillId="3" borderId="7" xfId="0" applyNumberFormat="1" applyFont="1" applyFill="1" applyBorder="1" applyAlignment="1">
      <alignment horizontal="left" vertical="center" wrapText="1"/>
    </xf>
    <xf numFmtId="164" fontId="7" fillId="3" borderId="5" xfId="0" applyNumberFormat="1" applyFont="1" applyFill="1" applyBorder="1" applyAlignment="1">
      <alignment horizontal="left" vertical="center"/>
    </xf>
    <xf numFmtId="164" fontId="7" fillId="3" borderId="6" xfId="0" applyNumberFormat="1" applyFont="1" applyFill="1" applyBorder="1" applyAlignment="1">
      <alignment horizontal="left" vertical="center"/>
    </xf>
    <xf numFmtId="164" fontId="7" fillId="3" borderId="7" xfId="0" applyNumberFormat="1" applyFont="1" applyFill="1" applyBorder="1" applyAlignment="1">
      <alignment horizontal="left" vertical="center"/>
    </xf>
    <xf numFmtId="164" fontId="8" fillId="0" borderId="0" xfId="0" applyNumberFormat="1" applyFont="1" applyAlignment="1">
      <alignment horizontal="center" vertical="center"/>
    </xf>
    <xf numFmtId="164" fontId="3" fillId="0" borderId="0" xfId="0" applyNumberFormat="1" applyFont="1" applyAlignment="1">
      <alignment horizontal="center" vertical="center" wrapText="1"/>
    </xf>
    <xf numFmtId="2" fontId="4" fillId="2" borderId="0" xfId="0" applyNumberFormat="1" applyFont="1" applyFill="1" applyAlignment="1">
      <alignment vertical="center" wrapText="1"/>
    </xf>
    <xf numFmtId="164" fontId="7" fillId="0" borderId="0" xfId="0" applyNumberFormat="1" applyFont="1" applyAlignment="1">
      <alignment horizontal="left" vertical="center"/>
    </xf>
    <xf numFmtId="0" fontId="5" fillId="3" borderId="90" xfId="0" applyFont="1" applyFill="1" applyBorder="1" applyAlignment="1">
      <alignment horizontal="left" vertical="center" wrapText="1"/>
    </xf>
    <xf numFmtId="0" fontId="5" fillId="3" borderId="32" xfId="0" applyFont="1" applyFill="1" applyBorder="1" applyAlignment="1">
      <alignment horizontal="left" vertical="center" wrapText="1"/>
    </xf>
    <xf numFmtId="0" fontId="5" fillId="3" borderId="35" xfId="0" applyFont="1" applyFill="1" applyBorder="1" applyAlignment="1">
      <alignment horizontal="left" vertical="center" wrapText="1"/>
    </xf>
    <xf numFmtId="0" fontId="5" fillId="0" borderId="91" xfId="0" applyFont="1" applyBorder="1" applyAlignment="1">
      <alignment horizontal="left" vertical="top" wrapText="1"/>
    </xf>
    <xf numFmtId="0" fontId="4" fillId="0" borderId="24" xfId="0" applyFont="1" applyBorder="1" applyAlignment="1">
      <alignment horizontal="left" vertical="top" wrapText="1"/>
    </xf>
    <xf numFmtId="0" fontId="4" fillId="0" borderId="36" xfId="0" applyFont="1" applyBorder="1" applyAlignment="1">
      <alignment horizontal="left" vertical="top" wrapText="1"/>
    </xf>
    <xf numFmtId="0" fontId="5" fillId="0" borderId="11" xfId="0" applyFont="1" applyBorder="1" applyAlignment="1">
      <alignment horizontal="left" vertical="top" wrapText="1"/>
    </xf>
    <xf numFmtId="0" fontId="5" fillId="0" borderId="1" xfId="0" applyFont="1" applyBorder="1" applyAlignment="1">
      <alignment horizontal="left" vertical="top" wrapText="1"/>
    </xf>
    <xf numFmtId="0" fontId="5" fillId="0" borderId="92" xfId="0" applyFont="1" applyBorder="1" applyAlignment="1">
      <alignment horizontal="left" vertical="top" wrapText="1"/>
    </xf>
    <xf numFmtId="0" fontId="4" fillId="0" borderId="93" xfId="0" applyFont="1" applyBorder="1" applyAlignment="1">
      <alignment horizontal="left" vertical="top" wrapText="1"/>
    </xf>
    <xf numFmtId="0" fontId="4" fillId="0" borderId="39" xfId="0" applyFont="1" applyBorder="1" applyAlignment="1">
      <alignment horizontal="left" vertical="top" wrapText="1"/>
    </xf>
    <xf numFmtId="0" fontId="4" fillId="0" borderId="20" xfId="0" applyFont="1" applyBorder="1" applyAlignment="1">
      <alignment horizontal="left" vertical="top" wrapText="1"/>
    </xf>
    <xf numFmtId="0" fontId="4" fillId="0" borderId="37" xfId="0" applyFont="1" applyBorder="1" applyAlignment="1">
      <alignment horizontal="left" vertical="top" wrapText="1"/>
    </xf>
    <xf numFmtId="0" fontId="5" fillId="0" borderId="94" xfId="0" applyFont="1" applyBorder="1" applyAlignment="1">
      <alignment horizontal="left" vertical="top" wrapText="1"/>
    </xf>
    <xf numFmtId="0" fontId="4" fillId="0" borderId="29" xfId="0" applyFont="1" applyBorder="1" applyAlignment="1">
      <alignment horizontal="left" vertical="top" wrapText="1"/>
    </xf>
    <xf numFmtId="0" fontId="4" fillId="0" borderId="38" xfId="0" applyFont="1" applyBorder="1" applyAlignment="1">
      <alignment horizontal="left" vertical="top" wrapText="1"/>
    </xf>
    <xf numFmtId="0" fontId="5" fillId="3" borderId="31" xfId="0" applyFont="1" applyFill="1" applyBorder="1" applyAlignment="1">
      <alignment horizontal="left" vertical="center" wrapText="1"/>
    </xf>
    <xf numFmtId="0" fontId="5" fillId="0" borderId="13" xfId="0" applyFont="1" applyBorder="1" applyAlignment="1">
      <alignment horizontal="left" vertical="top" wrapText="1"/>
    </xf>
    <xf numFmtId="0" fontId="5" fillId="0" borderId="10" xfId="0" applyFont="1" applyBorder="1" applyAlignment="1">
      <alignment horizontal="left" vertical="top" wrapText="1"/>
    </xf>
    <xf numFmtId="164" fontId="7" fillId="3" borderId="76" xfId="0" applyNumberFormat="1" applyFont="1" applyFill="1" applyBorder="1" applyAlignment="1">
      <alignment horizontal="left" vertical="center"/>
    </xf>
    <xf numFmtId="164" fontId="7" fillId="3" borderId="33" xfId="0" applyNumberFormat="1" applyFont="1" applyFill="1" applyBorder="1" applyAlignment="1">
      <alignment horizontal="left" vertical="center" wrapText="1"/>
    </xf>
    <xf numFmtId="164" fontId="7" fillId="3" borderId="60" xfId="0" applyNumberFormat="1" applyFont="1" applyFill="1" applyBorder="1" applyAlignment="1">
      <alignment horizontal="left" vertical="center" wrapText="1"/>
    </xf>
    <xf numFmtId="164" fontId="7" fillId="0" borderId="0" xfId="0" applyNumberFormat="1" applyFont="1" applyAlignment="1">
      <alignment horizontal="left" vertical="center" wrapText="1"/>
    </xf>
    <xf numFmtId="0" fontId="4" fillId="0" borderId="0" xfId="0" quotePrefix="1" applyFont="1" applyAlignment="1">
      <alignment horizontal="right" vertical="top" wrapText="1"/>
    </xf>
    <xf numFmtId="164" fontId="7" fillId="3" borderId="28" xfId="0" applyNumberFormat="1" applyFont="1" applyFill="1" applyBorder="1" applyAlignment="1">
      <alignment horizontal="left" vertical="center"/>
    </xf>
    <xf numFmtId="164" fontId="4" fillId="0" borderId="0" xfId="0" applyNumberFormat="1" applyFont="1" applyAlignment="1">
      <alignment horizontal="left" vertical="center"/>
    </xf>
    <xf numFmtId="164" fontId="7" fillId="0" borderId="0" xfId="0" applyNumberFormat="1" applyFont="1" applyAlignment="1">
      <alignment horizontal="left" vertical="top" wrapText="1"/>
    </xf>
    <xf numFmtId="0" fontId="5" fillId="3" borderId="5" xfId="0" applyFont="1" applyFill="1" applyBorder="1" applyAlignment="1">
      <alignment horizontal="left" vertical="center" wrapText="1"/>
    </xf>
    <xf numFmtId="0" fontId="5" fillId="3" borderId="34" xfId="0" applyFont="1" applyFill="1" applyBorder="1" applyAlignment="1">
      <alignment horizontal="left" vertical="center" wrapText="1"/>
    </xf>
    <xf numFmtId="0" fontId="4" fillId="2" borderId="13" xfId="0" applyFont="1" applyFill="1" applyBorder="1" applyAlignment="1">
      <alignment horizontal="left" vertical="top" wrapText="1"/>
    </xf>
    <xf numFmtId="0" fontId="4" fillId="0" borderId="54" xfId="0" applyFont="1" applyBorder="1" applyAlignment="1">
      <alignment horizontal="left" vertical="top" wrapText="1"/>
    </xf>
    <xf numFmtId="0" fontId="4" fillId="0" borderId="14" xfId="0" applyFont="1" applyBorder="1" applyAlignment="1">
      <alignment vertical="top" wrapText="1"/>
    </xf>
    <xf numFmtId="0" fontId="4" fillId="0" borderId="93" xfId="0" applyFont="1" applyBorder="1" applyAlignment="1">
      <alignment vertical="top" wrapText="1"/>
    </xf>
    <xf numFmtId="0" fontId="4" fillId="0" borderId="39" xfId="0" applyFont="1" applyBorder="1" applyAlignment="1">
      <alignment vertical="top" wrapText="1"/>
    </xf>
    <xf numFmtId="0" fontId="4" fillId="0" borderId="0" xfId="0" applyFont="1" applyAlignment="1">
      <alignment vertical="top" wrapText="1"/>
    </xf>
    <xf numFmtId="0" fontId="4" fillId="2" borderId="15" xfId="2" applyFill="1" applyBorder="1" applyAlignment="1">
      <alignment horizontal="left" vertical="top" wrapText="1"/>
    </xf>
    <xf numFmtId="0" fontId="4" fillId="0" borderId="28" xfId="0" applyFont="1" applyBorder="1" applyAlignment="1">
      <alignment horizontal="right" vertical="top" wrapText="1"/>
    </xf>
    <xf numFmtId="0" fontId="4" fillId="0" borderId="7" xfId="0" applyFont="1" applyBorder="1" applyAlignment="1">
      <alignment horizontal="right" vertical="top" wrapText="1"/>
    </xf>
    <xf numFmtId="164" fontId="2" fillId="0" borderId="0" xfId="0" applyNumberFormat="1" applyFont="1" applyAlignment="1">
      <alignment horizontal="center" vertical="center"/>
    </xf>
    <xf numFmtId="2" fontId="4" fillId="0" borderId="6" xfId="0" applyNumberFormat="1" applyFont="1" applyBorder="1" applyAlignment="1">
      <alignment horizontal="left" vertical="center" wrapText="1"/>
    </xf>
    <xf numFmtId="0" fontId="4" fillId="0" borderId="23" xfId="0" applyFont="1" applyBorder="1" applyAlignment="1">
      <alignment horizontal="left" vertical="top" wrapText="1"/>
    </xf>
    <xf numFmtId="0" fontId="4" fillId="0" borderId="27" xfId="0" applyFont="1" applyBorder="1" applyAlignment="1">
      <alignment horizontal="left" vertical="top" wrapText="1"/>
    </xf>
    <xf numFmtId="0" fontId="4" fillId="0" borderId="30" xfId="0" applyFont="1" applyBorder="1" applyAlignment="1">
      <alignment horizontal="left" vertical="top" wrapText="1"/>
    </xf>
    <xf numFmtId="0" fontId="4" fillId="0" borderId="46" xfId="0" applyFont="1" applyBorder="1" applyAlignment="1">
      <alignment horizontal="left" vertical="top" wrapText="1"/>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0" fontId="5" fillId="0" borderId="15" xfId="0" applyFont="1" applyBorder="1" applyAlignment="1">
      <alignment horizontal="left" vertical="top" wrapText="1"/>
    </xf>
    <xf numFmtId="0" fontId="4" fillId="0" borderId="19" xfId="2" applyBorder="1" applyAlignment="1">
      <alignment horizontal="left" vertical="top" wrapText="1"/>
    </xf>
    <xf numFmtId="0" fontId="4" fillId="0" borderId="101" xfId="2" applyBorder="1" applyAlignment="1">
      <alignment horizontal="left" vertical="top" wrapText="1"/>
    </xf>
    <xf numFmtId="0" fontId="4" fillId="0" borderId="28" xfId="2" applyBorder="1" applyAlignment="1">
      <alignment horizontal="left" vertical="top" wrapText="1"/>
    </xf>
    <xf numFmtId="0" fontId="4" fillId="0" borderId="11" xfId="2" applyBorder="1" applyAlignment="1">
      <alignment horizontal="left" vertical="top" wrapText="1"/>
    </xf>
    <xf numFmtId="0" fontId="4" fillId="0" borderId="10" xfId="2" applyBorder="1" applyAlignment="1">
      <alignment horizontal="left" vertical="top" wrapText="1"/>
    </xf>
    <xf numFmtId="0" fontId="5" fillId="3" borderId="2" xfId="0" applyFont="1" applyFill="1" applyBorder="1" applyAlignment="1">
      <alignment horizontal="left" vertical="center" wrapText="1"/>
    </xf>
    <xf numFmtId="0" fontId="4" fillId="2" borderId="19" xfId="2" applyFill="1" applyBorder="1" applyAlignment="1">
      <alignment horizontal="left" vertical="top" wrapText="1"/>
    </xf>
    <xf numFmtId="0" fontId="4" fillId="0" borderId="28" xfId="2" applyBorder="1" applyAlignment="1">
      <alignment vertical="top" wrapText="1"/>
    </xf>
    <xf numFmtId="0" fontId="5" fillId="3" borderId="33" xfId="0" applyFont="1" applyFill="1" applyBorder="1" applyAlignment="1">
      <alignment horizontal="left" vertical="center" wrapText="1"/>
    </xf>
    <xf numFmtId="0" fontId="4" fillId="0" borderId="1" xfId="2" applyBorder="1" applyAlignment="1">
      <alignment horizontal="left" vertical="top" wrapText="1"/>
    </xf>
    <xf numFmtId="0" fontId="4" fillId="2" borderId="20" xfId="0" applyFont="1" applyFill="1" applyBorder="1" applyAlignment="1">
      <alignment horizontal="left" vertical="top" wrapText="1"/>
    </xf>
    <xf numFmtId="0" fontId="4" fillId="0" borderId="1" xfId="0" applyFont="1" applyBorder="1" applyAlignment="1">
      <alignment horizontal="left" vertical="top" wrapText="1"/>
    </xf>
    <xf numFmtId="0" fontId="4" fillId="0" borderId="20" xfId="0" applyFont="1" applyBorder="1" applyAlignment="1">
      <alignment vertical="top" wrapText="1"/>
    </xf>
    <xf numFmtId="0" fontId="4" fillId="2" borderId="1" xfId="2" applyFill="1" applyBorder="1" applyAlignment="1">
      <alignment horizontal="left" vertical="top" wrapText="1"/>
    </xf>
    <xf numFmtId="0" fontId="4" fillId="2" borderId="20" xfId="2" applyFill="1" applyBorder="1" applyAlignment="1">
      <alignment horizontal="left" vertical="top" wrapText="1"/>
    </xf>
    <xf numFmtId="0" fontId="4" fillId="0" borderId="12" xfId="2" applyBorder="1" applyAlignment="1">
      <alignment horizontal="left" vertical="top" wrapText="1"/>
    </xf>
    <xf numFmtId="0" fontId="4" fillId="0" borderId="22" xfId="2" applyBorder="1" applyAlignment="1">
      <alignment horizontal="left" vertical="top" wrapText="1"/>
    </xf>
    <xf numFmtId="2" fontId="4" fillId="0" borderId="0" xfId="0" applyNumberFormat="1" applyFont="1" applyAlignment="1">
      <alignment horizontal="center" vertical="top"/>
    </xf>
    <xf numFmtId="164" fontId="4" fillId="0" borderId="0" xfId="0" applyNumberFormat="1" applyFont="1" applyAlignment="1">
      <alignment horizontal="center" vertical="top" wrapText="1"/>
    </xf>
    <xf numFmtId="0" fontId="4" fillId="0" borderId="23" xfId="0" applyFont="1" applyBorder="1" applyAlignment="1">
      <alignment vertical="top" wrapText="1"/>
    </xf>
    <xf numFmtId="0" fontId="4" fillId="0" borderId="24" xfId="0" applyFont="1" applyBorder="1" applyAlignment="1">
      <alignment vertical="top" wrapText="1"/>
    </xf>
    <xf numFmtId="0" fontId="4" fillId="0" borderId="36" xfId="0" applyFont="1" applyBorder="1" applyAlignment="1">
      <alignment vertical="top" wrapText="1"/>
    </xf>
    <xf numFmtId="0" fontId="4" fillId="0" borderId="27" xfId="0" applyFont="1" applyBorder="1" applyAlignment="1">
      <alignment vertical="top" wrapText="1"/>
    </xf>
    <xf numFmtId="0" fontId="4" fillId="0" borderId="30" xfId="0" applyFont="1" applyBorder="1" applyAlignment="1">
      <alignment vertical="top" wrapText="1"/>
    </xf>
    <xf numFmtId="0" fontId="4" fillId="0" borderId="46" xfId="0" applyFont="1" applyBorder="1" applyAlignment="1">
      <alignment vertical="top" wrapText="1"/>
    </xf>
    <xf numFmtId="0" fontId="4" fillId="0" borderId="2" xfId="0" applyFont="1" applyBorder="1" applyAlignment="1">
      <alignment vertical="top" wrapText="1"/>
    </xf>
    <xf numFmtId="0" fontId="4" fillId="0" borderId="37" xfId="0" applyFont="1" applyBorder="1" applyAlignment="1">
      <alignment vertical="top" wrapText="1"/>
    </xf>
    <xf numFmtId="0" fontId="4" fillId="0" borderId="4" xfId="0" applyFont="1" applyBorder="1" applyAlignment="1">
      <alignment vertical="top" wrapText="1"/>
    </xf>
    <xf numFmtId="164" fontId="7" fillId="3" borderId="5" xfId="0" applyNumberFormat="1" applyFont="1" applyFill="1" applyBorder="1" applyAlignment="1">
      <alignment vertical="center"/>
    </xf>
    <xf numFmtId="164" fontId="7" fillId="3" borderId="6" xfId="0" applyNumberFormat="1" applyFont="1" applyFill="1" applyBorder="1" applyAlignment="1">
      <alignment vertical="center"/>
    </xf>
    <xf numFmtId="164" fontId="7" fillId="3" borderId="7" xfId="0" applyNumberFormat="1" applyFont="1" applyFill="1" applyBorder="1" applyAlignment="1">
      <alignment vertical="center"/>
    </xf>
    <xf numFmtId="0" fontId="4" fillId="0" borderId="64" xfId="2" applyBorder="1" applyAlignment="1">
      <alignment vertical="top" wrapText="1"/>
    </xf>
    <xf numFmtId="0" fontId="4" fillId="0" borderId="17" xfId="2" applyBorder="1" applyAlignment="1">
      <alignment vertical="top" wrapText="1"/>
    </xf>
    <xf numFmtId="0" fontId="4" fillId="0" borderId="63" xfId="2" applyBorder="1" applyAlignment="1">
      <alignment vertical="top" wrapText="1"/>
    </xf>
    <xf numFmtId="0" fontId="4" fillId="0" borderId="14" xfId="2" applyBorder="1" applyAlignment="1">
      <alignment vertical="top" wrapText="1"/>
    </xf>
    <xf numFmtId="0" fontId="4" fillId="0" borderId="0" xfId="0" quotePrefix="1" applyFont="1" applyAlignment="1">
      <alignment vertical="top" wrapText="1"/>
    </xf>
    <xf numFmtId="0" fontId="4" fillId="0" borderId="42" xfId="2" applyBorder="1" applyAlignment="1">
      <alignment vertical="top" wrapText="1"/>
    </xf>
    <xf numFmtId="0" fontId="4" fillId="0" borderId="11" xfId="2" applyBorder="1" applyAlignment="1">
      <alignment vertical="top" wrapText="1"/>
    </xf>
    <xf numFmtId="0" fontId="4" fillId="0" borderId="28" xfId="0" quotePrefix="1" applyFont="1" applyBorder="1" applyAlignment="1">
      <alignment horizontal="right" vertical="top" wrapText="1"/>
    </xf>
    <xf numFmtId="0" fontId="4" fillId="0" borderId="7" xfId="0" quotePrefix="1" applyFont="1" applyBorder="1" applyAlignment="1">
      <alignment horizontal="right" vertical="top" wrapText="1"/>
    </xf>
    <xf numFmtId="0" fontId="5" fillId="3" borderId="54" xfId="0" applyFont="1" applyFill="1" applyBorder="1" applyAlignment="1">
      <alignment horizontal="left" vertical="center" wrapText="1"/>
    </xf>
    <xf numFmtId="0" fontId="5" fillId="3" borderId="3" xfId="0" applyFont="1" applyFill="1" applyBorder="1" applyAlignment="1">
      <alignment horizontal="left" vertical="center" wrapText="1"/>
    </xf>
    <xf numFmtId="164" fontId="5" fillId="0" borderId="10" xfId="0" applyNumberFormat="1" applyFont="1" applyBorder="1" applyAlignment="1">
      <alignment horizontal="left" vertical="center"/>
    </xf>
    <xf numFmtId="0" fontId="4" fillId="2" borderId="4" xfId="0" applyFont="1" applyFill="1" applyBorder="1" applyAlignment="1">
      <alignment horizontal="left" vertical="top" wrapText="1"/>
    </xf>
    <xf numFmtId="2" fontId="19" fillId="0" borderId="0" xfId="3" applyNumberFormat="1" applyFont="1" applyBorder="1" applyAlignment="1">
      <alignment horizontal="center" vertical="top" wrapText="1"/>
    </xf>
    <xf numFmtId="17" fontId="19" fillId="0" borderId="0" xfId="3" applyNumberFormat="1" applyFont="1" applyBorder="1" applyAlignment="1">
      <alignment horizontal="center" vertical="top" wrapText="1"/>
    </xf>
    <xf numFmtId="0" fontId="19" fillId="0" borderId="0" xfId="3" applyFont="1" applyBorder="1" applyAlignment="1">
      <alignment horizontal="center" vertical="top" wrapText="1"/>
    </xf>
    <xf numFmtId="165" fontId="19" fillId="0" borderId="0" xfId="3" applyNumberFormat="1" applyFont="1" applyBorder="1" applyAlignment="1">
      <alignment horizontal="center" vertical="top" wrapText="1"/>
    </xf>
    <xf numFmtId="164" fontId="7" fillId="3" borderId="34" xfId="0" applyNumberFormat="1" applyFont="1" applyFill="1" applyBorder="1" applyAlignment="1" applyProtection="1">
      <alignment horizontal="center" vertical="top"/>
      <protection hidden="1"/>
    </xf>
    <xf numFmtId="0" fontId="9" fillId="0" borderId="0" xfId="0" applyFont="1" applyProtection="1">
      <protection hidden="1"/>
    </xf>
    <xf numFmtId="164" fontId="7" fillId="3" borderId="86" xfId="0" applyNumberFormat="1"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15" borderId="104" xfId="6" applyFont="1" applyFill="1" applyBorder="1" applyAlignment="1" applyProtection="1">
      <alignment horizontal="left" vertical="top" wrapText="1"/>
      <protection hidden="1"/>
    </xf>
    <xf numFmtId="0" fontId="4" fillId="0" borderId="0" xfId="0" applyFont="1" applyProtection="1">
      <protection hidden="1"/>
    </xf>
    <xf numFmtId="0" fontId="4" fillId="4" borderId="70" xfId="0" applyFont="1" applyFill="1" applyBorder="1" applyAlignment="1" applyProtection="1">
      <alignment horizontal="left" vertical="top" wrapText="1"/>
      <protection hidden="1"/>
    </xf>
    <xf numFmtId="0" fontId="4" fillId="4" borderId="71" xfId="0" applyFont="1" applyFill="1" applyBorder="1" applyAlignment="1" applyProtection="1">
      <alignment horizontal="left" vertical="top" wrapText="1"/>
      <protection hidden="1"/>
    </xf>
    <xf numFmtId="0" fontId="4" fillId="4" borderId="68" xfId="0" applyFont="1" applyFill="1" applyBorder="1" applyAlignment="1" applyProtection="1">
      <alignment horizontal="left" vertical="top" wrapText="1"/>
      <protection hidden="1"/>
    </xf>
    <xf numFmtId="0" fontId="4" fillId="4" borderId="72" xfId="0" applyFont="1" applyFill="1" applyBorder="1" applyAlignment="1" applyProtection="1">
      <alignment horizontal="left" vertical="top" wrapText="1"/>
      <protection hidden="1"/>
    </xf>
    <xf numFmtId="0" fontId="4" fillId="4" borderId="73" xfId="0" applyFont="1" applyFill="1" applyBorder="1" applyAlignment="1" applyProtection="1">
      <alignment horizontal="left" vertical="top" wrapText="1"/>
      <protection hidden="1"/>
    </xf>
    <xf numFmtId="164" fontId="4" fillId="4" borderId="68" xfId="0" applyNumberFormat="1" applyFont="1" applyFill="1" applyBorder="1" applyAlignment="1" applyProtection="1">
      <alignment horizontal="left" vertical="top" wrapText="1"/>
      <protection hidden="1"/>
    </xf>
    <xf numFmtId="0" fontId="4" fillId="4" borderId="8" xfId="0" applyFont="1" applyFill="1" applyBorder="1" applyAlignment="1" applyProtection="1">
      <alignment horizontal="left" vertical="top" wrapText="1"/>
      <protection hidden="1"/>
    </xf>
    <xf numFmtId="0" fontId="4" fillId="0" borderId="0" xfId="0" applyFont="1" applyAlignment="1" applyProtection="1">
      <alignment horizontal="right" wrapText="1"/>
      <protection hidden="1"/>
    </xf>
    <xf numFmtId="0" fontId="9" fillId="0" borderId="0" xfId="0" applyFont="1" applyAlignment="1" applyProtection="1">
      <alignment wrapText="1"/>
      <protection hidden="1"/>
    </xf>
    <xf numFmtId="164" fontId="5" fillId="4" borderId="34" xfId="0" applyNumberFormat="1" applyFont="1" applyFill="1" applyBorder="1" applyAlignment="1" applyProtection="1">
      <alignment horizontal="right" vertical="top" wrapText="1"/>
      <protection hidden="1"/>
    </xf>
    <xf numFmtId="2" fontId="5" fillId="4" borderId="57" xfId="0" applyNumberFormat="1" applyFont="1" applyFill="1" applyBorder="1" applyAlignment="1" applyProtection="1">
      <alignment horizontal="right" vertical="top" wrapText="1"/>
      <protection hidden="1"/>
    </xf>
    <xf numFmtId="164" fontId="7" fillId="3" borderId="67" xfId="0" applyNumberFormat="1" applyFont="1" applyFill="1" applyBorder="1" applyAlignment="1" applyProtection="1">
      <alignment horizontal="center" vertical="top" wrapText="1"/>
      <protection hidden="1"/>
    </xf>
    <xf numFmtId="0" fontId="4" fillId="0" borderId="0" xfId="0" applyFont="1" applyAlignment="1" applyProtection="1">
      <alignment horizontal="left" vertical="center"/>
      <protection hidden="1"/>
    </xf>
    <xf numFmtId="0" fontId="4" fillId="0" borderId="0" xfId="0" applyFont="1" applyAlignment="1" applyProtection="1">
      <alignment horizontal="left" vertical="top" wrapText="1"/>
      <protection hidden="1"/>
    </xf>
    <xf numFmtId="0" fontId="4" fillId="4" borderId="67" xfId="0" applyFont="1" applyFill="1" applyBorder="1" applyAlignment="1" applyProtection="1">
      <alignment horizontal="left" vertical="top" wrapText="1"/>
      <protection hidden="1"/>
    </xf>
    <xf numFmtId="0" fontId="4" fillId="4" borderId="34" xfId="0" applyFont="1" applyFill="1" applyBorder="1" applyAlignment="1" applyProtection="1">
      <alignment horizontal="left" vertical="top" wrapText="1"/>
      <protection hidden="1"/>
    </xf>
    <xf numFmtId="0" fontId="4" fillId="15" borderId="104" xfId="6" applyFont="1" applyFill="1" applyBorder="1" applyAlignment="1" applyProtection="1">
      <alignment horizontal="left" vertical="center" wrapText="1"/>
      <protection hidden="1"/>
    </xf>
    <xf numFmtId="1" fontId="24" fillId="15" borderId="104" xfId="6" applyNumberFormat="1" applyFont="1" applyFill="1" applyBorder="1" applyAlignment="1" applyProtection="1">
      <alignment horizontal="left" vertical="top" shrinkToFit="1"/>
      <protection hidden="1"/>
    </xf>
    <xf numFmtId="0" fontId="4" fillId="4" borderId="74" xfId="0" applyFont="1" applyFill="1" applyBorder="1" applyAlignment="1" applyProtection="1">
      <alignment horizontal="left" vertical="top" wrapText="1"/>
      <protection hidden="1"/>
    </xf>
    <xf numFmtId="0" fontId="7" fillId="3" borderId="43" xfId="0" applyFont="1" applyFill="1" applyBorder="1" applyAlignment="1" applyProtection="1">
      <alignment horizontal="left" vertical="center" wrapText="1"/>
      <protection hidden="1"/>
    </xf>
    <xf numFmtId="0" fontId="4" fillId="4" borderId="63" xfId="0" applyFont="1" applyFill="1" applyBorder="1" applyAlignment="1" applyProtection="1">
      <alignment horizontal="left" vertical="top" wrapText="1"/>
      <protection hidden="1"/>
    </xf>
    <xf numFmtId="0" fontId="4" fillId="4" borderId="15" xfId="0" applyFont="1" applyFill="1" applyBorder="1" applyAlignment="1" applyProtection="1">
      <alignment horizontal="left" vertical="top" wrapText="1"/>
      <protection hidden="1"/>
    </xf>
    <xf numFmtId="164" fontId="4" fillId="4" borderId="16" xfId="0" applyNumberFormat="1" applyFont="1" applyFill="1" applyBorder="1" applyAlignment="1" applyProtection="1">
      <alignment horizontal="right" vertical="top" wrapText="1"/>
      <protection hidden="1"/>
    </xf>
    <xf numFmtId="0" fontId="4" fillId="4" borderId="62" xfId="0" applyFont="1" applyFill="1" applyBorder="1" applyAlignment="1" applyProtection="1">
      <alignment horizontal="left" vertical="top" wrapText="1"/>
      <protection hidden="1"/>
    </xf>
    <xf numFmtId="164" fontId="4" fillId="4" borderId="66" xfId="0" applyNumberFormat="1" applyFont="1" applyFill="1" applyBorder="1" applyAlignment="1" applyProtection="1">
      <alignment vertical="top" wrapText="1"/>
      <protection hidden="1"/>
    </xf>
    <xf numFmtId="0" fontId="4" fillId="4" borderId="43" xfId="0" applyFont="1" applyFill="1" applyBorder="1" applyAlignment="1" applyProtection="1">
      <alignment horizontal="left" vertical="top" wrapText="1"/>
      <protection hidden="1"/>
    </xf>
    <xf numFmtId="164" fontId="4" fillId="4" borderId="48" xfId="0" applyNumberFormat="1" applyFont="1" applyFill="1" applyBorder="1" applyAlignment="1" applyProtection="1">
      <alignment vertical="top" wrapText="1"/>
      <protection hidden="1"/>
    </xf>
    <xf numFmtId="164" fontId="4" fillId="4" borderId="65" xfId="0" applyNumberFormat="1" applyFont="1" applyFill="1" applyBorder="1" applyAlignment="1" applyProtection="1">
      <alignment vertical="top" wrapText="1"/>
      <protection hidden="1"/>
    </xf>
    <xf numFmtId="0" fontId="4" fillId="4" borderId="54" xfId="0" applyFont="1" applyFill="1" applyBorder="1" applyAlignment="1" applyProtection="1">
      <alignment horizontal="left" vertical="top" wrapText="1"/>
      <protection hidden="1"/>
    </xf>
    <xf numFmtId="164" fontId="7" fillId="3" borderId="74" xfId="0" applyNumberFormat="1" applyFont="1" applyFill="1" applyBorder="1" applyAlignment="1" applyProtection="1">
      <alignment horizontal="center" vertical="center" wrapText="1"/>
      <protection hidden="1"/>
    </xf>
    <xf numFmtId="164" fontId="7" fillId="3" borderId="34" xfId="0" applyNumberFormat="1" applyFont="1" applyFill="1" applyBorder="1" applyAlignment="1" applyProtection="1">
      <alignment horizontal="center" vertical="center" wrapText="1"/>
      <protection hidden="1"/>
    </xf>
    <xf numFmtId="0" fontId="4" fillId="4" borderId="69" xfId="0" applyFont="1" applyFill="1" applyBorder="1" applyAlignment="1" applyProtection="1">
      <alignment horizontal="left" vertical="top" wrapText="1"/>
      <protection hidden="1"/>
    </xf>
    <xf numFmtId="0" fontId="7" fillId="3" borderId="15" xfId="0" applyFont="1" applyFill="1" applyBorder="1" applyAlignment="1" applyProtection="1">
      <alignment horizontal="center" vertical="center" wrapText="1"/>
      <protection hidden="1"/>
    </xf>
    <xf numFmtId="0" fontId="7" fillId="3" borderId="16" xfId="0" applyFont="1" applyFill="1" applyBorder="1" applyAlignment="1" applyProtection="1">
      <alignment horizontal="center" vertical="center" wrapText="1"/>
      <protection hidden="1"/>
    </xf>
    <xf numFmtId="0" fontId="4" fillId="4" borderId="97" xfId="0" applyFont="1" applyFill="1" applyBorder="1" applyAlignment="1" applyProtection="1">
      <alignment horizontal="left" vertical="top" wrapText="1"/>
      <protection hidden="1"/>
    </xf>
    <xf numFmtId="0" fontId="4" fillId="4" borderId="75" xfId="0" applyFont="1" applyFill="1" applyBorder="1" applyAlignment="1" applyProtection="1">
      <alignment horizontal="left" vertical="top" wrapText="1"/>
      <protection hidden="1"/>
    </xf>
    <xf numFmtId="164" fontId="5" fillId="4" borderId="54" xfId="0" applyNumberFormat="1" applyFont="1" applyFill="1" applyBorder="1" applyAlignment="1" applyProtection="1">
      <alignment horizontal="right" vertical="top" wrapText="1"/>
      <protection hidden="1"/>
    </xf>
    <xf numFmtId="164" fontId="4" fillId="4" borderId="53" xfId="0" applyNumberFormat="1" applyFont="1" applyFill="1" applyBorder="1" applyAlignment="1" applyProtection="1">
      <alignment horizontal="right" vertical="top" wrapText="1"/>
      <protection hidden="1"/>
    </xf>
    <xf numFmtId="164" fontId="7" fillId="0" borderId="7" xfId="0" applyNumberFormat="1" applyFont="1" applyBorder="1" applyAlignment="1">
      <alignment horizontal="left" vertical="center"/>
    </xf>
    <xf numFmtId="164" fontId="7" fillId="3" borderId="34" xfId="0" applyNumberFormat="1" applyFont="1" applyFill="1" applyBorder="1" applyAlignment="1" applyProtection="1">
      <alignment horizontal="center" vertical="center"/>
      <protection hidden="1"/>
    </xf>
    <xf numFmtId="164" fontId="5" fillId="3" borderId="86" xfId="0" applyNumberFormat="1" applyFont="1" applyFill="1" applyBorder="1" applyAlignment="1" applyProtection="1">
      <alignment horizontal="center" vertical="center" wrapText="1"/>
      <protection hidden="1"/>
    </xf>
    <xf numFmtId="164" fontId="5" fillId="4" borderId="34" xfId="0" applyNumberFormat="1" applyFont="1" applyFill="1" applyBorder="1" applyAlignment="1" applyProtection="1">
      <alignment horizontal="right" vertical="center" wrapText="1"/>
      <protection hidden="1"/>
    </xf>
    <xf numFmtId="2" fontId="5" fillId="4" borderId="57" xfId="5" applyNumberFormat="1" applyFont="1" applyFill="1" applyBorder="1" applyAlignment="1" applyProtection="1">
      <alignment horizontal="right" vertical="center" wrapText="1"/>
      <protection hidden="1"/>
    </xf>
    <xf numFmtId="0" fontId="4" fillId="4" borderId="15" xfId="0" applyFont="1" applyFill="1" applyBorder="1" applyAlignment="1" applyProtection="1">
      <alignment vertical="top" wrapText="1"/>
      <protection hidden="1"/>
    </xf>
    <xf numFmtId="164" fontId="5" fillId="4" borderId="63" xfId="0" applyNumberFormat="1" applyFont="1" applyFill="1" applyBorder="1" applyAlignment="1" applyProtection="1">
      <alignment horizontal="right" vertical="top" wrapText="1"/>
      <protection hidden="1"/>
    </xf>
    <xf numFmtId="0" fontId="10" fillId="0" borderId="0" xfId="0" applyFont="1" applyAlignment="1" applyProtection="1">
      <alignment vertical="center"/>
      <protection hidden="1"/>
    </xf>
    <xf numFmtId="0" fontId="9" fillId="0" borderId="0" xfId="0" applyFont="1" applyAlignment="1" applyProtection="1">
      <alignment vertical="top"/>
      <protection hidden="1"/>
    </xf>
    <xf numFmtId="0" fontId="11" fillId="0" borderId="0" xfId="0" applyFont="1" applyAlignment="1" applyProtection="1">
      <alignment horizontal="left" vertical="top" wrapText="1"/>
      <protection hidden="1"/>
    </xf>
    <xf numFmtId="0" fontId="4" fillId="0" borderId="0" xfId="0" applyFont="1" applyAlignment="1" applyProtection="1">
      <alignment vertical="top"/>
      <protection hidden="1"/>
    </xf>
    <xf numFmtId="0" fontId="13" fillId="5" borderId="15" xfId="0" applyFont="1" applyFill="1" applyBorder="1" applyAlignment="1" applyProtection="1">
      <alignment horizontal="left" vertical="center" wrapText="1" indent="1"/>
      <protection hidden="1"/>
    </xf>
    <xf numFmtId="0" fontId="13" fillId="5" borderId="13" xfId="0" applyFont="1" applyFill="1" applyBorder="1" applyAlignment="1" applyProtection="1">
      <alignment horizontal="left" vertical="center" wrapText="1" indent="1"/>
      <protection hidden="1"/>
    </xf>
    <xf numFmtId="0" fontId="13" fillId="5" borderId="28" xfId="0" applyFont="1" applyFill="1" applyBorder="1" applyAlignment="1" applyProtection="1">
      <alignment horizontal="left" vertical="center" wrapText="1" indent="1"/>
      <protection hidden="1"/>
    </xf>
    <xf numFmtId="0" fontId="13" fillId="5" borderId="16" xfId="0" applyFont="1" applyFill="1" applyBorder="1" applyAlignment="1" applyProtection="1">
      <alignment horizontal="left" vertical="center" wrapText="1" indent="1"/>
      <protection hidden="1"/>
    </xf>
    <xf numFmtId="0" fontId="10" fillId="0" borderId="0" xfId="0" applyFont="1" applyAlignment="1" applyProtection="1">
      <alignment vertical="top"/>
      <protection hidden="1"/>
    </xf>
    <xf numFmtId="0" fontId="4" fillId="0" borderId="40" xfId="0" applyFont="1" applyBorder="1" applyAlignment="1" applyProtection="1">
      <alignment horizontal="left" vertical="center" wrapText="1" indent="1"/>
      <protection hidden="1"/>
    </xf>
    <xf numFmtId="0" fontId="4" fillId="0" borderId="43" xfId="0" applyFont="1" applyBorder="1" applyAlignment="1" applyProtection="1">
      <alignment horizontal="left" vertical="center" wrapText="1" indent="1"/>
      <protection hidden="1"/>
    </xf>
    <xf numFmtId="0" fontId="4" fillId="0" borderId="1" xfId="0" applyFont="1" applyBorder="1" applyAlignment="1" applyProtection="1">
      <alignment horizontal="left" vertical="center" wrapText="1" indent="1"/>
      <protection hidden="1"/>
    </xf>
    <xf numFmtId="44" fontId="4" fillId="0" borderId="1" xfId="1" applyFont="1" applyFill="1" applyBorder="1" applyAlignment="1" applyProtection="1">
      <alignment horizontal="left" vertical="center" indent="1"/>
      <protection hidden="1"/>
    </xf>
    <xf numFmtId="49" fontId="4" fillId="0" borderId="1" xfId="1" applyNumberFormat="1" applyFont="1" applyFill="1" applyBorder="1" applyAlignment="1" applyProtection="1">
      <alignment horizontal="left" vertical="center" wrapText="1" indent="1"/>
      <protection hidden="1"/>
    </xf>
    <xf numFmtId="0" fontId="4" fillId="7" borderId="49" xfId="0" applyFont="1" applyFill="1" applyBorder="1" applyAlignment="1" applyProtection="1">
      <alignment horizontal="left" vertical="center" wrapText="1" indent="1"/>
      <protection hidden="1"/>
    </xf>
    <xf numFmtId="0" fontId="4" fillId="0" borderId="83" xfId="0" applyFont="1" applyBorder="1" applyAlignment="1" applyProtection="1">
      <alignment horizontal="left" vertical="center" wrapText="1" indent="1"/>
      <protection hidden="1"/>
    </xf>
    <xf numFmtId="0" fontId="4" fillId="6" borderId="49" xfId="0" applyFont="1" applyFill="1" applyBorder="1" applyAlignment="1" applyProtection="1">
      <alignment horizontal="left" vertical="center" wrapText="1" indent="1"/>
      <protection hidden="1"/>
    </xf>
    <xf numFmtId="0" fontId="4" fillId="8" borderId="49" xfId="0" applyFont="1" applyFill="1" applyBorder="1" applyAlignment="1" applyProtection="1">
      <alignment horizontal="left" vertical="center" wrapText="1" indent="1"/>
      <protection hidden="1"/>
    </xf>
    <xf numFmtId="0" fontId="4" fillId="9" borderId="49" xfId="0" applyFont="1" applyFill="1" applyBorder="1" applyAlignment="1" applyProtection="1">
      <alignment horizontal="left" vertical="center" wrapText="1" indent="1"/>
      <protection hidden="1"/>
    </xf>
    <xf numFmtId="0" fontId="22" fillId="10" borderId="49" xfId="0" applyFont="1" applyFill="1" applyBorder="1" applyAlignment="1" applyProtection="1">
      <alignment horizontal="left" vertical="center" wrapText="1" indent="1"/>
      <protection hidden="1"/>
    </xf>
    <xf numFmtId="0" fontId="4" fillId="11" borderId="49" xfId="0" applyFont="1" applyFill="1" applyBorder="1" applyAlignment="1" applyProtection="1">
      <alignment horizontal="left" vertical="center" wrapText="1" indent="1"/>
      <protection hidden="1"/>
    </xf>
    <xf numFmtId="0" fontId="4" fillId="12" borderId="49" xfId="0" applyFont="1" applyFill="1" applyBorder="1" applyAlignment="1" applyProtection="1">
      <alignment horizontal="left" vertical="center" wrapText="1" indent="1"/>
      <protection hidden="1"/>
    </xf>
    <xf numFmtId="49" fontId="5" fillId="0" borderId="0" xfId="0" applyNumberFormat="1" applyFont="1" applyAlignment="1" applyProtection="1">
      <alignment horizontal="left" vertical="top"/>
      <protection hidden="1"/>
    </xf>
    <xf numFmtId="164" fontId="5" fillId="3" borderId="34" xfId="0" applyNumberFormat="1" applyFont="1" applyFill="1" applyBorder="1" applyAlignment="1" applyProtection="1">
      <alignment horizontal="center" vertical="center" wrapText="1"/>
      <protection hidden="1"/>
    </xf>
    <xf numFmtId="164" fontId="5" fillId="4" borderId="69" xfId="0" applyNumberFormat="1" applyFont="1" applyFill="1" applyBorder="1" applyAlignment="1" applyProtection="1">
      <alignment horizontal="right" vertical="top" wrapText="1"/>
      <protection hidden="1"/>
    </xf>
    <xf numFmtId="164" fontId="5" fillId="4" borderId="68" xfId="0" applyNumberFormat="1" applyFont="1" applyFill="1" applyBorder="1" applyAlignment="1" applyProtection="1">
      <alignment horizontal="right" vertical="top" wrapText="1"/>
      <protection hidden="1"/>
    </xf>
    <xf numFmtId="164" fontId="5" fillId="2" borderId="0" xfId="1" applyNumberFormat="1" applyFont="1" applyFill="1" applyBorder="1" applyAlignment="1" applyProtection="1">
      <alignment horizontal="right" vertical="top"/>
      <protection hidden="1"/>
    </xf>
    <xf numFmtId="0" fontId="4" fillId="0" borderId="0" xfId="0" applyFont="1" applyAlignment="1" applyProtection="1">
      <alignment horizontal="right"/>
      <protection hidden="1"/>
    </xf>
    <xf numFmtId="164" fontId="4" fillId="4" borderId="69" xfId="0" applyNumberFormat="1" applyFont="1" applyFill="1" applyBorder="1" applyAlignment="1" applyProtection="1">
      <alignment horizontal="right" vertical="top" wrapText="1"/>
      <protection hidden="1"/>
    </xf>
    <xf numFmtId="164" fontId="4" fillId="4" borderId="68" xfId="0" applyNumberFormat="1" applyFont="1" applyFill="1" applyBorder="1" applyAlignment="1" applyProtection="1">
      <alignment horizontal="right" vertical="top" wrapText="1"/>
      <protection hidden="1"/>
    </xf>
    <xf numFmtId="164" fontId="4" fillId="4" borderId="81" xfId="0" applyNumberFormat="1" applyFont="1" applyFill="1" applyBorder="1" applyAlignment="1" applyProtection="1">
      <alignment horizontal="right" vertical="top" wrapText="1"/>
      <protection hidden="1"/>
    </xf>
    <xf numFmtId="164" fontId="4" fillId="4" borderId="57" xfId="0" applyNumberFormat="1" applyFont="1" applyFill="1" applyBorder="1" applyAlignment="1" applyProtection="1">
      <alignment horizontal="right" vertical="top" wrapText="1"/>
      <protection hidden="1"/>
    </xf>
    <xf numFmtId="0" fontId="4" fillId="4" borderId="57" xfId="0" applyFont="1" applyFill="1" applyBorder="1" applyAlignment="1" applyProtection="1">
      <alignment horizontal="left" vertical="top" wrapText="1"/>
      <protection hidden="1"/>
    </xf>
    <xf numFmtId="3" fontId="4" fillId="4" borderId="65" xfId="0" applyNumberFormat="1" applyFont="1" applyFill="1" applyBorder="1" applyAlignment="1" applyProtection="1">
      <alignment horizontal="left" vertical="top" wrapText="1"/>
      <protection hidden="1"/>
    </xf>
    <xf numFmtId="0" fontId="4" fillId="4" borderId="52" xfId="0" applyFont="1" applyFill="1" applyBorder="1" applyAlignment="1" applyProtection="1">
      <alignment horizontal="left" vertical="top" wrapText="1"/>
      <protection hidden="1"/>
    </xf>
    <xf numFmtId="0" fontId="4" fillId="4" borderId="65" xfId="0" applyFont="1" applyFill="1" applyBorder="1" applyAlignment="1" applyProtection="1">
      <alignment horizontal="left" vertical="top" wrapText="1"/>
      <protection hidden="1"/>
    </xf>
    <xf numFmtId="0" fontId="4" fillId="4" borderId="16" xfId="0" applyFont="1" applyFill="1" applyBorder="1" applyAlignment="1" applyProtection="1">
      <alignment horizontal="left" vertical="top" wrapText="1"/>
      <protection hidden="1"/>
    </xf>
    <xf numFmtId="0" fontId="4" fillId="4" borderId="49" xfId="0" applyFont="1" applyFill="1" applyBorder="1" applyAlignment="1" applyProtection="1">
      <alignment horizontal="left" vertical="top" wrapText="1"/>
      <protection hidden="1"/>
    </xf>
    <xf numFmtId="3" fontId="4" fillId="4" borderId="52" xfId="0" applyNumberFormat="1" applyFont="1" applyFill="1" applyBorder="1" applyAlignment="1" applyProtection="1">
      <alignment horizontal="left" vertical="top" wrapText="1"/>
      <protection hidden="1"/>
    </xf>
    <xf numFmtId="0" fontId="4" fillId="4" borderId="48" xfId="0" applyFont="1" applyFill="1" applyBorder="1" applyAlignment="1" applyProtection="1">
      <alignment horizontal="left" vertical="top" wrapText="1"/>
      <protection hidden="1"/>
    </xf>
    <xf numFmtId="3" fontId="4" fillId="4" borderId="49" xfId="0" applyNumberFormat="1" applyFont="1" applyFill="1" applyBorder="1" applyAlignment="1" applyProtection="1">
      <alignment horizontal="left" vertical="top" wrapText="1"/>
      <protection hidden="1"/>
    </xf>
    <xf numFmtId="0" fontId="4" fillId="4" borderId="53" xfId="0" applyFont="1" applyFill="1" applyBorder="1" applyAlignment="1" applyProtection="1">
      <alignment horizontal="left" vertical="top" wrapText="1"/>
      <protection hidden="1"/>
    </xf>
    <xf numFmtId="0" fontId="4" fillId="4" borderId="66" xfId="0" applyFont="1" applyFill="1" applyBorder="1" applyAlignment="1" applyProtection="1">
      <alignment horizontal="left" vertical="top" wrapText="1"/>
      <protection hidden="1"/>
    </xf>
    <xf numFmtId="0" fontId="4" fillId="4" borderId="36" xfId="0" applyFont="1" applyFill="1" applyBorder="1" applyAlignment="1" applyProtection="1">
      <alignment horizontal="left" vertical="top" wrapText="1"/>
      <protection hidden="1"/>
    </xf>
    <xf numFmtId="0" fontId="4" fillId="4" borderId="37" xfId="0" applyFont="1" applyFill="1" applyBorder="1" applyAlignment="1" applyProtection="1">
      <alignment horizontal="left" vertical="top" wrapText="1"/>
      <protection hidden="1"/>
    </xf>
    <xf numFmtId="0" fontId="4" fillId="4" borderId="38" xfId="0" applyFont="1" applyFill="1" applyBorder="1" applyAlignment="1" applyProtection="1">
      <alignment horizontal="left" vertical="top" wrapText="1"/>
      <protection hidden="1"/>
    </xf>
    <xf numFmtId="164" fontId="4" fillId="4" borderId="37" xfId="0" applyNumberFormat="1" applyFont="1" applyFill="1" applyBorder="1" applyAlignment="1" applyProtection="1">
      <alignment horizontal="left" vertical="top" wrapText="1"/>
      <protection hidden="1"/>
    </xf>
    <xf numFmtId="0" fontId="4" fillId="4" borderId="80" xfId="0" applyFont="1" applyFill="1" applyBorder="1" applyAlignment="1" applyProtection="1">
      <alignment horizontal="left" vertical="top" wrapText="1"/>
      <protection hidden="1"/>
    </xf>
    <xf numFmtId="164" fontId="5" fillId="4" borderId="67" xfId="0" applyNumberFormat="1" applyFont="1" applyFill="1" applyBorder="1" applyAlignment="1" applyProtection="1">
      <alignment horizontal="right" vertical="top" wrapText="1"/>
      <protection hidden="1"/>
    </xf>
    <xf numFmtId="2" fontId="4" fillId="0" borderId="0" xfId="0" applyNumberFormat="1" applyFont="1" applyAlignment="1">
      <alignment vertical="center" wrapText="1"/>
    </xf>
    <xf numFmtId="49" fontId="5" fillId="0" borderId="0" xfId="0" applyNumberFormat="1" applyFont="1" applyAlignment="1" applyProtection="1">
      <alignment vertical="top"/>
      <protection hidden="1"/>
    </xf>
    <xf numFmtId="164" fontId="5" fillId="2" borderId="0" xfId="0" applyNumberFormat="1" applyFont="1" applyFill="1" applyAlignment="1" applyProtection="1">
      <alignment vertical="center" wrapText="1"/>
      <protection hidden="1"/>
    </xf>
    <xf numFmtId="2" fontId="4" fillId="0" borderId="0" xfId="0" applyNumberFormat="1" applyFont="1" applyAlignment="1" applyProtection="1">
      <alignment vertical="center" wrapText="1"/>
      <protection hidden="1"/>
    </xf>
    <xf numFmtId="0" fontId="4" fillId="4" borderId="45" xfId="0" applyFont="1" applyFill="1" applyBorder="1" applyAlignment="1" applyProtection="1">
      <alignment horizontal="left" vertical="top" wrapText="1"/>
      <protection hidden="1"/>
    </xf>
    <xf numFmtId="0" fontId="4" fillId="4" borderId="51" xfId="0" applyFont="1" applyFill="1" applyBorder="1" applyAlignment="1" applyProtection="1">
      <alignment horizontal="left" vertical="top" wrapText="1"/>
      <protection hidden="1"/>
    </xf>
    <xf numFmtId="0" fontId="4" fillId="4" borderId="41" xfId="0" applyFont="1" applyFill="1" applyBorder="1" applyAlignment="1" applyProtection="1">
      <alignment horizontal="left" vertical="top" wrapText="1"/>
      <protection hidden="1"/>
    </xf>
    <xf numFmtId="0" fontId="4" fillId="4" borderId="47" xfId="0" applyFont="1" applyFill="1" applyBorder="1" applyAlignment="1" applyProtection="1">
      <alignment horizontal="left" vertical="top" wrapText="1"/>
      <protection hidden="1"/>
    </xf>
    <xf numFmtId="0" fontId="4" fillId="4" borderId="44" xfId="0" applyFont="1" applyFill="1" applyBorder="1" applyAlignment="1" applyProtection="1">
      <alignment horizontal="left" vertical="top" wrapText="1"/>
      <protection hidden="1"/>
    </xf>
    <xf numFmtId="0" fontId="4" fillId="4" borderId="50" xfId="0" applyFont="1" applyFill="1" applyBorder="1" applyAlignment="1" applyProtection="1">
      <alignment horizontal="left" vertical="top" wrapText="1"/>
      <protection hidden="1"/>
    </xf>
    <xf numFmtId="164" fontId="4" fillId="4" borderId="43" xfId="0" applyNumberFormat="1" applyFont="1" applyFill="1" applyBorder="1" applyAlignment="1" applyProtection="1">
      <alignment horizontal="left" vertical="top" wrapText="1"/>
      <protection hidden="1"/>
    </xf>
    <xf numFmtId="164" fontId="4" fillId="4" borderId="49" xfId="0" applyNumberFormat="1" applyFont="1" applyFill="1" applyBorder="1" applyAlignment="1" applyProtection="1">
      <alignment horizontal="left" vertical="top" wrapText="1"/>
      <protection hidden="1"/>
    </xf>
    <xf numFmtId="164" fontId="5" fillId="4" borderId="53" xfId="0" applyNumberFormat="1" applyFont="1" applyFill="1" applyBorder="1" applyAlignment="1" applyProtection="1">
      <alignment horizontal="right" vertical="top" wrapText="1"/>
      <protection hidden="1"/>
    </xf>
    <xf numFmtId="2" fontId="5" fillId="4" borderId="58" xfId="0" applyNumberFormat="1" applyFont="1" applyFill="1" applyBorder="1" applyAlignment="1" applyProtection="1">
      <alignment horizontal="right" vertical="top" wrapText="1"/>
      <protection hidden="1"/>
    </xf>
    <xf numFmtId="2" fontId="5" fillId="4" borderId="65" xfId="0" applyNumberFormat="1" applyFont="1" applyFill="1" applyBorder="1" applyAlignment="1" applyProtection="1">
      <alignment horizontal="right" vertical="top" wrapText="1"/>
      <protection hidden="1"/>
    </xf>
    <xf numFmtId="0" fontId="4" fillId="0" borderId="0" xfId="1" applyNumberFormat="1" applyFont="1" applyFill="1" applyBorder="1" applyAlignment="1" applyProtection="1">
      <alignment horizontal="left" vertical="top" wrapText="1"/>
      <protection hidden="1"/>
    </xf>
    <xf numFmtId="0" fontId="4" fillId="4" borderId="42" xfId="0" applyFont="1" applyFill="1" applyBorder="1" applyAlignment="1" applyProtection="1">
      <alignment horizontal="left" vertical="top" wrapText="1"/>
      <protection hidden="1"/>
    </xf>
    <xf numFmtId="0" fontId="4" fillId="4" borderId="64" xfId="0" applyFont="1" applyFill="1" applyBorder="1" applyAlignment="1" applyProtection="1">
      <alignment horizontal="left" vertical="top" wrapText="1"/>
      <protection hidden="1"/>
    </xf>
    <xf numFmtId="0" fontId="4" fillId="4" borderId="18" xfId="0" applyFont="1" applyFill="1" applyBorder="1" applyAlignment="1" applyProtection="1">
      <alignment horizontal="left" vertical="top" wrapText="1"/>
      <protection hidden="1"/>
    </xf>
    <xf numFmtId="0" fontId="4" fillId="4" borderId="5" xfId="0" applyFont="1" applyFill="1" applyBorder="1" applyAlignment="1" applyProtection="1">
      <alignment horizontal="left" vertical="top" wrapText="1"/>
      <protection hidden="1"/>
    </xf>
    <xf numFmtId="0" fontId="4" fillId="4" borderId="76" xfId="0" applyFont="1" applyFill="1" applyBorder="1" applyAlignment="1" applyProtection="1">
      <alignment horizontal="left" vertical="top" wrapText="1"/>
      <protection hidden="1"/>
    </xf>
    <xf numFmtId="0" fontId="4" fillId="4" borderId="56" xfId="0" applyFont="1" applyFill="1" applyBorder="1" applyAlignment="1" applyProtection="1">
      <alignment horizontal="left" vertical="top" wrapText="1"/>
      <protection hidden="1"/>
    </xf>
    <xf numFmtId="0" fontId="4" fillId="4" borderId="55" xfId="0" applyFont="1" applyFill="1" applyBorder="1" applyAlignment="1" applyProtection="1">
      <alignment horizontal="left" vertical="top" wrapText="1"/>
      <protection hidden="1"/>
    </xf>
    <xf numFmtId="0" fontId="4" fillId="4" borderId="77" xfId="0" applyFont="1" applyFill="1" applyBorder="1" applyAlignment="1" applyProtection="1">
      <alignment horizontal="left" vertical="top" wrapText="1"/>
      <protection hidden="1"/>
    </xf>
    <xf numFmtId="0" fontId="5" fillId="0" borderId="0" xfId="0" applyFont="1" applyProtection="1">
      <protection hidden="1"/>
    </xf>
    <xf numFmtId="0" fontId="0" fillId="0" borderId="0" xfId="0" applyProtection="1">
      <protection hidden="1"/>
    </xf>
    <xf numFmtId="164" fontId="5" fillId="3" borderId="74" xfId="0" applyNumberFormat="1" applyFont="1" applyFill="1" applyBorder="1" applyAlignment="1" applyProtection="1">
      <alignment horizontal="center" vertical="center" wrapText="1"/>
      <protection hidden="1"/>
    </xf>
    <xf numFmtId="0" fontId="4" fillId="4" borderId="86" xfId="0" applyFont="1" applyFill="1" applyBorder="1" applyAlignment="1" applyProtection="1">
      <alignment horizontal="left" vertical="center" wrapText="1"/>
      <protection hidden="1"/>
    </xf>
    <xf numFmtId="0" fontId="4" fillId="4" borderId="87" xfId="0" applyFont="1" applyFill="1" applyBorder="1" applyAlignment="1" applyProtection="1">
      <alignment horizontal="left" vertical="top" wrapText="1"/>
      <protection hidden="1"/>
    </xf>
    <xf numFmtId="2" fontId="4" fillId="0" borderId="0" xfId="0" applyNumberFormat="1" applyFont="1" applyAlignment="1" applyProtection="1">
      <alignment horizontal="left" vertical="center" wrapText="1"/>
      <protection hidden="1"/>
    </xf>
    <xf numFmtId="164" fontId="4" fillId="4" borderId="66" xfId="0" applyNumberFormat="1" applyFont="1" applyFill="1" applyBorder="1" applyAlignment="1" applyProtection="1">
      <alignment horizontal="right" vertical="top" wrapText="1"/>
      <protection hidden="1"/>
    </xf>
    <xf numFmtId="164" fontId="4" fillId="4" borderId="65" xfId="0" applyNumberFormat="1" applyFont="1" applyFill="1" applyBorder="1" applyAlignment="1" applyProtection="1">
      <alignment horizontal="right" vertical="top" wrapText="1"/>
      <protection hidden="1"/>
    </xf>
    <xf numFmtId="164" fontId="4" fillId="4" borderId="48" xfId="0" applyNumberFormat="1" applyFont="1" applyFill="1" applyBorder="1" applyAlignment="1" applyProtection="1">
      <alignment horizontal="right" vertical="top" wrapText="1"/>
      <protection hidden="1"/>
    </xf>
    <xf numFmtId="0" fontId="5" fillId="0" borderId="0" xfId="0" applyFont="1" applyAlignment="1" applyProtection="1">
      <alignment vertical="top"/>
      <protection hidden="1"/>
    </xf>
    <xf numFmtId="0" fontId="5" fillId="3" borderId="49" xfId="0" applyFont="1" applyFill="1" applyBorder="1" applyAlignment="1" applyProtection="1">
      <alignment horizontal="left" vertical="center" wrapText="1"/>
      <protection hidden="1"/>
    </xf>
    <xf numFmtId="165" fontId="20" fillId="2" borderId="0" xfId="0" applyNumberFormat="1" applyFont="1" applyFill="1" applyAlignment="1">
      <alignment horizontal="center" vertical="top"/>
    </xf>
    <xf numFmtId="0" fontId="2" fillId="0" borderId="0" xfId="0" applyFont="1" applyAlignment="1" applyProtection="1">
      <alignment horizontal="center" vertical="center" wrapText="1"/>
      <protection hidden="1"/>
    </xf>
    <xf numFmtId="0" fontId="7" fillId="0" borderId="0" xfId="0" applyFont="1" applyAlignment="1" applyProtection="1">
      <alignment horizontal="left" vertical="top" wrapText="1"/>
      <protection hidden="1"/>
    </xf>
    <xf numFmtId="0" fontId="4" fillId="0" borderId="31" xfId="0" applyFont="1" applyBorder="1" applyAlignment="1" applyProtection="1">
      <alignment horizontal="left" vertical="center" wrapText="1" indent="1"/>
      <protection hidden="1"/>
    </xf>
    <xf numFmtId="0" fontId="4" fillId="0" borderId="32" xfId="0" applyFont="1" applyBorder="1" applyAlignment="1" applyProtection="1">
      <alignment horizontal="left" vertical="center" wrapText="1" indent="1"/>
      <protection hidden="1"/>
    </xf>
    <xf numFmtId="0" fontId="4" fillId="0" borderId="35" xfId="0" applyFont="1" applyBorder="1" applyAlignment="1" applyProtection="1">
      <alignment horizontal="left" vertical="center" wrapText="1" indent="1"/>
      <protection hidden="1"/>
    </xf>
    <xf numFmtId="0" fontId="4" fillId="0" borderId="0" xfId="0" applyFont="1" applyAlignment="1" applyProtection="1">
      <alignment horizontal="left" vertical="top" wrapText="1"/>
      <protection hidden="1"/>
    </xf>
    <xf numFmtId="0" fontId="4" fillId="0" borderId="2" xfId="0" applyFont="1" applyBorder="1" applyAlignment="1">
      <alignment horizontal="left" vertical="top" wrapText="1"/>
    </xf>
    <xf numFmtId="0" fontId="4" fillId="0" borderId="20" xfId="0" applyFont="1" applyBorder="1" applyAlignment="1">
      <alignment horizontal="left" vertical="top" wrapText="1"/>
    </xf>
    <xf numFmtId="0" fontId="4" fillId="0" borderId="37" xfId="0" applyFont="1" applyBorder="1" applyAlignment="1">
      <alignment horizontal="left" vertical="top" wrapText="1"/>
    </xf>
    <xf numFmtId="0" fontId="4" fillId="0" borderId="26" xfId="0" applyFont="1" applyBorder="1" applyAlignment="1">
      <alignment horizontal="left" vertical="top" wrapText="1"/>
    </xf>
    <xf numFmtId="0" fontId="4" fillId="0" borderId="29" xfId="0" applyFont="1" applyBorder="1" applyAlignment="1">
      <alignment horizontal="left" vertical="top" wrapText="1"/>
    </xf>
    <xf numFmtId="0" fontId="4" fillId="0" borderId="38" xfId="0" applyFont="1" applyBorder="1" applyAlignment="1">
      <alignment horizontal="left" vertical="top" wrapText="1"/>
    </xf>
    <xf numFmtId="0" fontId="4" fillId="0" borderId="27" xfId="0" applyFont="1" applyBorder="1" applyAlignment="1">
      <alignment horizontal="left" vertical="top" wrapText="1"/>
    </xf>
    <xf numFmtId="0" fontId="4" fillId="0" borderId="30" xfId="0" applyFont="1" applyBorder="1" applyAlignment="1">
      <alignment horizontal="left" vertical="top" wrapText="1"/>
    </xf>
    <xf numFmtId="0" fontId="4" fillId="0" borderId="46" xfId="0" applyFont="1" applyBorder="1" applyAlignment="1">
      <alignment horizontal="left" vertical="top" wrapText="1"/>
    </xf>
    <xf numFmtId="0" fontId="4" fillId="0" borderId="23" xfId="0" applyFont="1" applyBorder="1" applyAlignment="1">
      <alignment horizontal="left" vertical="top" wrapText="1"/>
    </xf>
    <xf numFmtId="0" fontId="4" fillId="0" borderId="24" xfId="0" applyFont="1" applyBorder="1" applyAlignment="1">
      <alignment horizontal="left" vertical="top" wrapText="1"/>
    </xf>
    <xf numFmtId="0" fontId="4" fillId="0" borderId="36" xfId="0" applyFont="1" applyBorder="1" applyAlignment="1">
      <alignment horizontal="left" vertical="top" wrapText="1"/>
    </xf>
    <xf numFmtId="164" fontId="2" fillId="7" borderId="5" xfId="0" applyNumberFormat="1" applyFont="1" applyFill="1" applyBorder="1" applyAlignment="1">
      <alignment horizontal="center" vertical="center"/>
    </xf>
    <xf numFmtId="164" fontId="2" fillId="7" borderId="6" xfId="0" applyNumberFormat="1" applyFont="1" applyFill="1" applyBorder="1" applyAlignment="1">
      <alignment horizontal="center" vertical="center"/>
    </xf>
    <xf numFmtId="164" fontId="2" fillId="7" borderId="7" xfId="0" applyNumberFormat="1" applyFont="1" applyFill="1" applyBorder="1" applyAlignment="1">
      <alignment horizontal="center" vertical="center"/>
    </xf>
    <xf numFmtId="164" fontId="3" fillId="3" borderId="5" xfId="0" applyNumberFormat="1" applyFont="1" applyFill="1" applyBorder="1" applyAlignment="1">
      <alignment horizontal="center" vertical="center" wrapText="1"/>
    </xf>
    <xf numFmtId="164" fontId="3" fillId="3" borderId="6" xfId="0" applyNumberFormat="1" applyFont="1" applyFill="1" applyBorder="1" applyAlignment="1">
      <alignment horizontal="center" vertical="center" wrapText="1"/>
    </xf>
    <xf numFmtId="164" fontId="3" fillId="3" borderId="7" xfId="0" applyNumberFormat="1" applyFont="1" applyFill="1" applyBorder="1" applyAlignment="1">
      <alignment horizontal="center" vertical="center" wrapText="1"/>
    </xf>
    <xf numFmtId="2" fontId="4" fillId="0" borderId="78" xfId="0" applyNumberFormat="1" applyFont="1" applyBorder="1" applyAlignment="1">
      <alignment horizontal="left" vertical="center" wrapText="1"/>
    </xf>
    <xf numFmtId="2" fontId="4" fillId="0" borderId="11" xfId="0" applyNumberFormat="1" applyFont="1" applyBorder="1" applyAlignment="1">
      <alignment horizontal="left" vertical="center" wrapText="1"/>
    </xf>
    <xf numFmtId="2" fontId="4" fillId="0" borderId="10" xfId="0" applyNumberFormat="1" applyFont="1" applyBorder="1" applyAlignment="1">
      <alignment horizontal="left" vertical="center" wrapText="1"/>
    </xf>
    <xf numFmtId="164" fontId="7" fillId="3" borderId="5" xfId="0" applyNumberFormat="1" applyFont="1" applyFill="1" applyBorder="1" applyAlignment="1">
      <alignment horizontal="left" vertical="center"/>
    </xf>
    <xf numFmtId="164" fontId="7" fillId="3" borderId="6" xfId="0" applyNumberFormat="1" applyFont="1" applyFill="1" applyBorder="1" applyAlignment="1">
      <alignment horizontal="left" vertical="center"/>
    </xf>
    <xf numFmtId="164" fontId="7" fillId="3" borderId="7" xfId="0" applyNumberFormat="1" applyFont="1" applyFill="1" applyBorder="1" applyAlignment="1">
      <alignment horizontal="left" vertical="center"/>
    </xf>
    <xf numFmtId="0" fontId="4" fillId="0" borderId="25" xfId="0" applyFont="1" applyBorder="1" applyAlignment="1">
      <alignment horizontal="left" vertical="top" wrapText="1"/>
    </xf>
    <xf numFmtId="0" fontId="4" fillId="0" borderId="33" xfId="0" applyFont="1" applyBorder="1" applyAlignment="1">
      <alignment horizontal="left" vertical="top" wrapText="1"/>
    </xf>
    <xf numFmtId="0" fontId="4" fillId="0" borderId="60" xfId="0" applyFont="1" applyBorder="1" applyAlignment="1">
      <alignment horizontal="left" vertical="top" wrapText="1"/>
    </xf>
    <xf numFmtId="0" fontId="4" fillId="0" borderId="19" xfId="0" applyFont="1" applyBorder="1" applyAlignment="1">
      <alignment horizontal="right" vertical="top" wrapText="1"/>
    </xf>
    <xf numFmtId="0" fontId="4" fillId="0" borderId="9" xfId="0" applyFont="1" applyBorder="1" applyAlignment="1">
      <alignment horizontal="right" vertical="top" wrapText="1"/>
    </xf>
    <xf numFmtId="0" fontId="4" fillId="0" borderId="64" xfId="2" applyBorder="1" applyAlignment="1">
      <alignment horizontal="left" vertical="top" wrapText="1"/>
    </xf>
    <xf numFmtId="0" fontId="4" fillId="0" borderId="63" xfId="2" applyBorder="1" applyAlignment="1">
      <alignment horizontal="left" vertical="top" wrapText="1"/>
    </xf>
    <xf numFmtId="0" fontId="4" fillId="0" borderId="17" xfId="2" applyBorder="1" applyAlignment="1">
      <alignment horizontal="left" vertical="top" wrapText="1"/>
    </xf>
    <xf numFmtId="0" fontId="4" fillId="0" borderId="14" xfId="2" applyBorder="1" applyAlignment="1">
      <alignment horizontal="left" vertical="top" wrapText="1"/>
    </xf>
    <xf numFmtId="0" fontId="4" fillId="0" borderId="25" xfId="0" applyFont="1" applyBorder="1" applyAlignment="1">
      <alignment horizontal="right" vertical="top" wrapText="1"/>
    </xf>
    <xf numFmtId="0" fontId="4" fillId="0" borderId="60" xfId="0" applyFont="1" applyBorder="1" applyAlignment="1">
      <alignment horizontal="right" vertical="top" wrapText="1"/>
    </xf>
    <xf numFmtId="0" fontId="4" fillId="0" borderId="21" xfId="0" applyFont="1" applyBorder="1" applyAlignment="1">
      <alignment horizontal="right" vertical="top" wrapText="1"/>
    </xf>
    <xf numFmtId="0" fontId="4" fillId="0" borderId="61" xfId="0" applyFont="1" applyBorder="1" applyAlignment="1">
      <alignment horizontal="right" vertical="top" wrapText="1"/>
    </xf>
    <xf numFmtId="0" fontId="4" fillId="0" borderId="42" xfId="2" applyBorder="1" applyAlignment="1">
      <alignment horizontal="left" vertical="top" wrapText="1"/>
    </xf>
    <xf numFmtId="0" fontId="4" fillId="0" borderId="11" xfId="2" applyBorder="1" applyAlignment="1">
      <alignment horizontal="left" vertical="top" wrapText="1"/>
    </xf>
    <xf numFmtId="0" fontId="4" fillId="0" borderId="2" xfId="0" applyFont="1" applyBorder="1" applyAlignment="1">
      <alignment horizontal="right" vertical="top" wrapText="1"/>
    </xf>
    <xf numFmtId="0" fontId="4" fillId="0" borderId="37" xfId="0" applyFont="1" applyBorder="1" applyAlignment="1">
      <alignment horizontal="right" vertical="top" wrapText="1"/>
    </xf>
    <xf numFmtId="0" fontId="4" fillId="0" borderId="4" xfId="0" applyFont="1" applyBorder="1" applyAlignment="1">
      <alignment horizontal="right" vertical="top" wrapText="1"/>
    </xf>
    <xf numFmtId="0" fontId="4" fillId="0" borderId="39" xfId="0" applyFont="1" applyBorder="1" applyAlignment="1">
      <alignment horizontal="right" vertical="top" wrapText="1"/>
    </xf>
    <xf numFmtId="0" fontId="4" fillId="0" borderId="28" xfId="0" quotePrefix="1" applyFont="1" applyBorder="1" applyAlignment="1" applyProtection="1">
      <alignment horizontal="right" vertical="top" wrapText="1"/>
      <protection locked="0"/>
    </xf>
    <xf numFmtId="0" fontId="4" fillId="0" borderId="7" xfId="0" quotePrefix="1" applyFont="1" applyBorder="1" applyAlignment="1" applyProtection="1">
      <alignment horizontal="right" vertical="top" wrapText="1"/>
      <protection locked="0"/>
    </xf>
    <xf numFmtId="0" fontId="4" fillId="2" borderId="21" xfId="1" applyNumberFormat="1" applyFont="1" applyFill="1" applyBorder="1" applyAlignment="1" applyProtection="1">
      <alignment horizontal="left" vertical="top" wrapText="1"/>
    </xf>
    <xf numFmtId="0" fontId="4" fillId="2" borderId="22" xfId="1" applyNumberFormat="1" applyFont="1" applyFill="1" applyBorder="1" applyAlignment="1" applyProtection="1">
      <alignment horizontal="left" vertical="top" wrapText="1"/>
    </xf>
    <xf numFmtId="0" fontId="4" fillId="2" borderId="61" xfId="1" applyNumberFormat="1" applyFont="1" applyFill="1" applyBorder="1" applyAlignment="1" applyProtection="1">
      <alignment horizontal="left" vertical="top" wrapText="1"/>
    </xf>
    <xf numFmtId="164" fontId="7" fillId="3" borderId="5" xfId="0" applyNumberFormat="1" applyFont="1" applyFill="1" applyBorder="1" applyAlignment="1">
      <alignment horizontal="left" vertical="center" wrapText="1"/>
    </xf>
    <xf numFmtId="164" fontId="7" fillId="3" borderId="6" xfId="0" applyNumberFormat="1" applyFont="1" applyFill="1" applyBorder="1" applyAlignment="1">
      <alignment horizontal="left" vertical="center" wrapText="1"/>
    </xf>
    <xf numFmtId="164" fontId="7" fillId="3" borderId="7" xfId="0" applyNumberFormat="1" applyFont="1" applyFill="1" applyBorder="1" applyAlignment="1">
      <alignment horizontal="left" vertical="center" wrapText="1"/>
    </xf>
    <xf numFmtId="0" fontId="5" fillId="3" borderId="28" xfId="0" applyFont="1" applyFill="1" applyBorder="1" applyAlignment="1">
      <alignment horizontal="left" vertical="center" wrapText="1"/>
    </xf>
    <xf numFmtId="0" fontId="5" fillId="3" borderId="7" xfId="0" applyFont="1" applyFill="1" applyBorder="1" applyAlignment="1">
      <alignment horizontal="left" vertical="center" wrapText="1"/>
    </xf>
    <xf numFmtId="0" fontId="4" fillId="0" borderId="15" xfId="2" applyBorder="1" applyAlignment="1">
      <alignment horizontal="left" vertical="top" wrapText="1"/>
    </xf>
    <xf numFmtId="0" fontId="4" fillId="0" borderId="13" xfId="2" applyBorder="1" applyAlignment="1">
      <alignment horizontal="left" vertical="top" wrapText="1"/>
    </xf>
    <xf numFmtId="0" fontId="4" fillId="0" borderId="28" xfId="0" applyFont="1" applyBorder="1" applyAlignment="1">
      <alignment horizontal="right" vertical="top" wrapText="1"/>
    </xf>
    <xf numFmtId="0" fontId="4" fillId="0" borderId="7" xfId="0" applyFont="1" applyBorder="1" applyAlignment="1">
      <alignment horizontal="right" vertical="top" wrapText="1"/>
    </xf>
    <xf numFmtId="0" fontId="5" fillId="3" borderId="15" xfId="0" applyFont="1" applyFill="1" applyBorder="1" applyAlignment="1">
      <alignment horizontal="left" vertical="center" wrapText="1"/>
    </xf>
    <xf numFmtId="0" fontId="5" fillId="3" borderId="13" xfId="0" applyFont="1" applyFill="1" applyBorder="1" applyAlignment="1">
      <alignment horizontal="left" vertical="center" wrapText="1"/>
    </xf>
    <xf numFmtId="0" fontId="5" fillId="3" borderId="16" xfId="0" applyFont="1" applyFill="1" applyBorder="1" applyAlignment="1">
      <alignment horizontal="left" vertical="center" wrapText="1"/>
    </xf>
    <xf numFmtId="0" fontId="4" fillId="2" borderId="54" xfId="2" applyFill="1" applyBorder="1" applyAlignment="1">
      <alignment horizontal="left" vertical="top" wrapText="1"/>
    </xf>
    <xf numFmtId="0" fontId="4" fillId="2" borderId="3" xfId="2" applyFill="1" applyBorder="1" applyAlignment="1">
      <alignment horizontal="left" vertical="top" wrapText="1"/>
    </xf>
    <xf numFmtId="0" fontId="4" fillId="2" borderId="53" xfId="2" applyFill="1" applyBorder="1" applyAlignment="1">
      <alignment horizontal="left" vertical="top" wrapText="1"/>
    </xf>
    <xf numFmtId="0" fontId="4" fillId="0" borderId="43" xfId="2" applyBorder="1" applyAlignment="1">
      <alignment horizontal="left" vertical="top" wrapText="1"/>
    </xf>
    <xf numFmtId="0" fontId="4" fillId="0" borderId="1" xfId="2" applyBorder="1" applyAlignment="1">
      <alignment horizontal="left" vertical="top" wrapText="1"/>
    </xf>
    <xf numFmtId="0" fontId="4" fillId="0" borderId="49" xfId="2" applyBorder="1" applyAlignment="1">
      <alignment horizontal="left" vertical="top" wrapText="1"/>
    </xf>
    <xf numFmtId="0" fontId="4" fillId="0" borderId="58" xfId="2" applyBorder="1" applyAlignment="1">
      <alignment horizontal="left" vertical="top" wrapText="1"/>
    </xf>
    <xf numFmtId="0" fontId="4" fillId="0" borderId="12" xfId="2" applyBorder="1" applyAlignment="1">
      <alignment horizontal="left" vertical="top" wrapText="1"/>
    </xf>
    <xf numFmtId="0" fontId="4" fillId="0" borderId="59" xfId="2" applyBorder="1" applyAlignment="1">
      <alignment horizontal="left" vertical="top" wrapText="1"/>
    </xf>
    <xf numFmtId="0" fontId="4" fillId="0" borderId="56" xfId="2" applyBorder="1" applyAlignment="1">
      <alignment horizontal="left" vertical="top" wrapText="1"/>
    </xf>
    <xf numFmtId="0" fontId="4" fillId="0" borderId="20" xfId="2" applyBorder="1" applyAlignment="1">
      <alignment horizontal="left" vertical="top" wrapText="1"/>
    </xf>
    <xf numFmtId="0" fontId="4" fillId="0" borderId="37" xfId="2" applyBorder="1" applyAlignment="1">
      <alignment horizontal="left" vertical="top" wrapText="1"/>
    </xf>
    <xf numFmtId="0" fontId="5" fillId="3" borderId="18" xfId="0" applyFont="1" applyFill="1" applyBorder="1" applyAlignment="1">
      <alignment horizontal="left" vertical="center" wrapText="1"/>
    </xf>
    <xf numFmtId="0" fontId="5" fillId="3" borderId="52" xfId="0" applyFont="1" applyFill="1" applyBorder="1" applyAlignment="1">
      <alignment horizontal="left" vertical="center" wrapText="1"/>
    </xf>
    <xf numFmtId="0" fontId="4" fillId="0" borderId="19" xfId="0" quotePrefix="1" applyFont="1" applyBorder="1" applyAlignment="1" applyProtection="1">
      <alignment horizontal="right" vertical="top" wrapText="1"/>
      <protection locked="0"/>
    </xf>
    <xf numFmtId="0" fontId="4" fillId="0" borderId="9" xfId="0" quotePrefix="1" applyFont="1" applyBorder="1" applyAlignment="1" applyProtection="1">
      <alignment horizontal="right" vertical="top" wrapText="1"/>
      <protection locked="0"/>
    </xf>
    <xf numFmtId="164" fontId="8" fillId="6" borderId="5" xfId="0" applyNumberFormat="1" applyFont="1" applyFill="1" applyBorder="1" applyAlignment="1">
      <alignment horizontal="center" vertical="center"/>
    </xf>
    <xf numFmtId="164" fontId="8" fillId="6" borderId="6" xfId="0" applyNumberFormat="1" applyFont="1" applyFill="1" applyBorder="1" applyAlignment="1">
      <alignment horizontal="center" vertical="center"/>
    </xf>
    <xf numFmtId="164" fontId="8" fillId="6" borderId="7" xfId="0" applyNumberFormat="1" applyFont="1" applyFill="1" applyBorder="1" applyAlignment="1">
      <alignment horizontal="center" vertical="center"/>
    </xf>
    <xf numFmtId="0" fontId="4" fillId="0" borderId="22" xfId="0" applyFont="1" applyBorder="1" applyAlignment="1">
      <alignment horizontal="left" vertical="top" wrapText="1"/>
    </xf>
    <xf numFmtId="0" fontId="4" fillId="0" borderId="61" xfId="0" applyFont="1" applyBorder="1" applyAlignment="1">
      <alignment horizontal="left" vertical="top" wrapText="1"/>
    </xf>
    <xf numFmtId="0" fontId="4" fillId="0" borderId="28" xfId="0" quotePrefix="1" applyFont="1" applyBorder="1" applyAlignment="1">
      <alignment horizontal="right" vertical="top" wrapText="1"/>
    </xf>
    <xf numFmtId="0" fontId="4" fillId="0" borderId="7" xfId="0" quotePrefix="1" applyFont="1" applyBorder="1" applyAlignment="1">
      <alignment horizontal="right" vertical="top" wrapText="1"/>
    </xf>
    <xf numFmtId="164" fontId="8" fillId="6" borderId="76" xfId="0" applyNumberFormat="1" applyFont="1" applyFill="1" applyBorder="1" applyAlignment="1">
      <alignment horizontal="center" vertical="center"/>
    </xf>
    <xf numFmtId="164" fontId="8" fillId="6" borderId="33" xfId="0" applyNumberFormat="1" applyFont="1" applyFill="1" applyBorder="1" applyAlignment="1">
      <alignment horizontal="center" vertical="center"/>
    </xf>
    <xf numFmtId="164" fontId="8" fillId="6" borderId="60" xfId="0" applyNumberFormat="1" applyFont="1" applyFill="1" applyBorder="1" applyAlignment="1">
      <alignment horizontal="center" vertical="center"/>
    </xf>
    <xf numFmtId="164" fontId="3" fillId="3" borderId="77" xfId="0" applyNumberFormat="1" applyFont="1" applyFill="1" applyBorder="1" applyAlignment="1">
      <alignment horizontal="center" vertical="center" wrapText="1"/>
    </xf>
    <xf numFmtId="164" fontId="3" fillId="3" borderId="22" xfId="0" applyNumberFormat="1" applyFont="1" applyFill="1" applyBorder="1" applyAlignment="1">
      <alignment horizontal="center" vertical="center" wrapText="1"/>
    </xf>
    <xf numFmtId="164" fontId="3" fillId="3" borderId="61" xfId="0" applyNumberFormat="1" applyFont="1" applyFill="1" applyBorder="1" applyAlignment="1">
      <alignment horizontal="center" vertical="center" wrapText="1"/>
    </xf>
    <xf numFmtId="2" fontId="4" fillId="0" borderId="21" xfId="0" applyNumberFormat="1" applyFont="1" applyBorder="1" applyAlignment="1">
      <alignment horizontal="center" vertical="center" wrapText="1"/>
    </xf>
    <xf numFmtId="2" fontId="4" fillId="0" borderId="22" xfId="0" applyNumberFormat="1" applyFont="1" applyBorder="1" applyAlignment="1">
      <alignment horizontal="center" vertical="center" wrapText="1"/>
    </xf>
    <xf numFmtId="0" fontId="4" fillId="0" borderId="95" xfId="0" applyFont="1" applyBorder="1" applyAlignment="1">
      <alignment horizontal="left" vertical="top" wrapText="1"/>
    </xf>
    <xf numFmtId="0" fontId="4" fillId="0" borderId="96" xfId="0" applyFont="1" applyBorder="1" applyAlignment="1">
      <alignment horizontal="left" vertical="top" wrapText="1"/>
    </xf>
    <xf numFmtId="0" fontId="4" fillId="0" borderId="100" xfId="0" applyFont="1" applyBorder="1" applyAlignment="1">
      <alignment horizontal="left" vertical="top" wrapText="1"/>
    </xf>
    <xf numFmtId="164" fontId="7" fillId="3" borderId="5" xfId="0" applyNumberFormat="1" applyFont="1" applyFill="1" applyBorder="1" applyAlignment="1" applyProtection="1">
      <alignment horizontal="center" vertical="center" wrapText="1"/>
      <protection hidden="1"/>
    </xf>
    <xf numFmtId="164" fontId="7" fillId="3" borderId="7" xfId="0" applyNumberFormat="1" applyFont="1" applyFill="1" applyBorder="1" applyAlignment="1" applyProtection="1">
      <alignment horizontal="center" vertical="center" wrapText="1"/>
      <protection hidden="1"/>
    </xf>
    <xf numFmtId="164" fontId="4" fillId="4" borderId="66" xfId="0" applyNumberFormat="1" applyFont="1" applyFill="1" applyBorder="1" applyAlignment="1" applyProtection="1">
      <alignment horizontal="right" vertical="top" wrapText="1"/>
      <protection hidden="1"/>
    </xf>
    <xf numFmtId="164" fontId="4" fillId="4" borderId="48" xfId="0" applyNumberFormat="1" applyFont="1" applyFill="1" applyBorder="1" applyAlignment="1" applyProtection="1">
      <alignment horizontal="right" vertical="top" wrapText="1"/>
      <protection hidden="1"/>
    </xf>
    <xf numFmtId="164" fontId="4" fillId="4" borderId="65" xfId="0" applyNumberFormat="1" applyFont="1" applyFill="1" applyBorder="1" applyAlignment="1" applyProtection="1">
      <alignment horizontal="right" vertical="top" wrapText="1"/>
      <protection hidden="1"/>
    </xf>
    <xf numFmtId="0" fontId="4" fillId="0" borderId="19" xfId="0" quotePrefix="1" applyFont="1" applyBorder="1" applyAlignment="1">
      <alignment horizontal="right" vertical="top" wrapText="1"/>
    </xf>
    <xf numFmtId="0" fontId="4" fillId="0" borderId="9" xfId="0" quotePrefix="1" applyFont="1" applyBorder="1" applyAlignment="1">
      <alignment horizontal="right" vertical="top" wrapText="1"/>
    </xf>
    <xf numFmtId="0" fontId="7" fillId="3" borderId="64" xfId="0" applyFont="1" applyFill="1" applyBorder="1" applyAlignment="1" applyProtection="1">
      <alignment horizontal="center" vertical="center" wrapText="1"/>
      <protection hidden="1"/>
    </xf>
    <xf numFmtId="0" fontId="7" fillId="3" borderId="54" xfId="0" applyFont="1" applyFill="1" applyBorder="1" applyAlignment="1" applyProtection="1">
      <alignment horizontal="center" vertical="center" wrapText="1"/>
      <protection hidden="1"/>
    </xf>
    <xf numFmtId="0" fontId="7" fillId="3" borderId="66" xfId="0" applyFont="1" applyFill="1" applyBorder="1" applyAlignment="1" applyProtection="1">
      <alignment horizontal="center" vertical="center" wrapText="1"/>
      <protection hidden="1"/>
    </xf>
    <xf numFmtId="0" fontId="7" fillId="3" borderId="53" xfId="0" applyFont="1" applyFill="1" applyBorder="1" applyAlignment="1" applyProtection="1">
      <alignment horizontal="center" vertical="center" wrapText="1"/>
      <protection hidden="1"/>
    </xf>
    <xf numFmtId="164" fontId="5" fillId="0" borderId="6" xfId="0" applyNumberFormat="1" applyFont="1" applyBorder="1" applyAlignment="1">
      <alignment horizontal="left" vertical="top" wrapText="1"/>
    </xf>
    <xf numFmtId="164" fontId="5" fillId="0" borderId="7" xfId="0" applyNumberFormat="1" applyFont="1" applyBorder="1" applyAlignment="1">
      <alignment horizontal="left" vertical="top" wrapText="1"/>
    </xf>
    <xf numFmtId="0" fontId="5" fillId="3" borderId="89" xfId="0" applyFont="1" applyFill="1" applyBorder="1" applyAlignment="1">
      <alignment horizontal="left" vertical="center" wrapText="1"/>
    </xf>
    <xf numFmtId="0" fontId="4" fillId="0" borderId="21" xfId="0" quotePrefix="1" applyFont="1" applyBorder="1" applyAlignment="1">
      <alignment horizontal="right" vertical="top" wrapText="1"/>
    </xf>
    <xf numFmtId="0" fontId="4" fillId="0" borderId="61" xfId="0" quotePrefix="1" applyFont="1" applyBorder="1" applyAlignment="1">
      <alignment horizontal="right" vertical="top" wrapText="1"/>
    </xf>
    <xf numFmtId="0" fontId="7" fillId="3" borderId="63" xfId="0" applyFont="1" applyFill="1" applyBorder="1" applyAlignment="1" applyProtection="1">
      <alignment horizontal="center" vertical="center" wrapText="1"/>
      <protection hidden="1"/>
    </xf>
    <xf numFmtId="0" fontId="7" fillId="3" borderId="65" xfId="0" applyFont="1" applyFill="1" applyBorder="1" applyAlignment="1" applyProtection="1">
      <alignment horizontal="center" vertical="center" wrapText="1"/>
      <protection hidden="1"/>
    </xf>
    <xf numFmtId="164" fontId="5" fillId="0" borderId="28" xfId="0" applyNumberFormat="1" applyFont="1" applyBorder="1" applyAlignment="1">
      <alignment horizontal="left" vertical="top" wrapText="1"/>
    </xf>
    <xf numFmtId="0" fontId="7" fillId="3" borderId="5" xfId="0" applyFont="1" applyFill="1" applyBorder="1" applyAlignment="1" applyProtection="1">
      <alignment horizontal="center" vertical="center" wrapText="1"/>
      <protection hidden="1"/>
    </xf>
    <xf numFmtId="0" fontId="7" fillId="3" borderId="7" xfId="0" applyFont="1" applyFill="1" applyBorder="1" applyAlignment="1" applyProtection="1">
      <alignment horizontal="center" vertical="center" wrapText="1"/>
      <protection hidden="1"/>
    </xf>
    <xf numFmtId="0" fontId="4" fillId="0" borderId="28" xfId="0" quotePrefix="1" applyFont="1" applyBorder="1" applyAlignment="1">
      <alignment horizontal="left" vertical="top" wrapText="1"/>
    </xf>
    <xf numFmtId="0" fontId="4" fillId="0" borderId="7" xfId="0" quotePrefix="1" applyFont="1" applyBorder="1" applyAlignment="1">
      <alignment horizontal="left" vertical="top" wrapText="1"/>
    </xf>
    <xf numFmtId="0" fontId="5" fillId="3" borderId="25" xfId="0" applyFont="1" applyFill="1" applyBorder="1" applyAlignment="1">
      <alignment horizontal="left" vertical="center" wrapText="1"/>
    </xf>
    <xf numFmtId="0" fontId="5" fillId="3" borderId="60" xfId="0" applyFont="1" applyFill="1" applyBorder="1" applyAlignment="1">
      <alignment horizontal="left" vertical="center" wrapText="1"/>
    </xf>
    <xf numFmtId="0" fontId="4" fillId="0" borderId="21" xfId="0" quotePrefix="1" applyFont="1" applyBorder="1" applyAlignment="1">
      <alignment horizontal="left" vertical="top" wrapText="1"/>
    </xf>
    <xf numFmtId="0" fontId="4" fillId="0" borderId="61" xfId="0" quotePrefix="1" applyFont="1" applyBorder="1" applyAlignment="1">
      <alignment horizontal="left" vertical="top" wrapText="1"/>
    </xf>
    <xf numFmtId="164" fontId="7" fillId="3" borderId="28" xfId="0" applyNumberFormat="1" applyFont="1" applyFill="1" applyBorder="1" applyAlignment="1">
      <alignment horizontal="left" vertical="center" wrapText="1"/>
    </xf>
    <xf numFmtId="0" fontId="4" fillId="0" borderId="88" xfId="0" applyFont="1" applyBorder="1" applyAlignment="1">
      <alignment horizontal="right" vertical="top" wrapText="1"/>
    </xf>
    <xf numFmtId="0" fontId="4" fillId="0" borderId="103" xfId="0" applyFont="1" applyBorder="1" applyAlignment="1">
      <alignment horizontal="right" vertical="top" wrapText="1"/>
    </xf>
    <xf numFmtId="0" fontId="4" fillId="0" borderId="101" xfId="0" applyFont="1" applyBorder="1" applyAlignment="1">
      <alignment horizontal="right" vertical="top" wrapText="1"/>
    </xf>
    <xf numFmtId="0" fontId="4" fillId="0" borderId="99" xfId="0" applyFont="1" applyBorder="1" applyAlignment="1">
      <alignment horizontal="right" vertical="top" wrapText="1"/>
    </xf>
    <xf numFmtId="164" fontId="2" fillId="7" borderId="76" xfId="0" applyNumberFormat="1" applyFont="1" applyFill="1" applyBorder="1" applyAlignment="1">
      <alignment horizontal="center" vertical="center"/>
    </xf>
    <xf numFmtId="164" fontId="2" fillId="7" borderId="33" xfId="0" applyNumberFormat="1" applyFont="1" applyFill="1" applyBorder="1" applyAlignment="1">
      <alignment horizontal="center" vertical="center"/>
    </xf>
    <xf numFmtId="164" fontId="2" fillId="7" borderId="60" xfId="0" applyNumberFormat="1" applyFont="1" applyFill="1" applyBorder="1" applyAlignment="1">
      <alignment horizontal="center" vertical="center"/>
    </xf>
    <xf numFmtId="0" fontId="5" fillId="3" borderId="6" xfId="0" applyFont="1" applyFill="1" applyBorder="1" applyAlignment="1">
      <alignment horizontal="left" vertical="center" wrapText="1"/>
    </xf>
    <xf numFmtId="0" fontId="4" fillId="2" borderId="28" xfId="1" applyNumberFormat="1" applyFont="1" applyFill="1" applyBorder="1" applyAlignment="1" applyProtection="1">
      <alignment horizontal="left" vertical="top" wrapText="1"/>
    </xf>
    <xf numFmtId="0" fontId="4" fillId="2" borderId="6" xfId="1" applyNumberFormat="1" applyFont="1" applyFill="1" applyBorder="1" applyAlignment="1" applyProtection="1">
      <alignment horizontal="left" vertical="top" wrapText="1"/>
    </xf>
    <xf numFmtId="0" fontId="4" fillId="2" borderId="7" xfId="1" applyNumberFormat="1" applyFont="1" applyFill="1" applyBorder="1" applyAlignment="1" applyProtection="1">
      <alignment horizontal="left" vertical="top" wrapText="1"/>
    </xf>
    <xf numFmtId="164" fontId="7" fillId="3" borderId="21" xfId="0" applyNumberFormat="1" applyFont="1" applyFill="1" applyBorder="1" applyAlignment="1">
      <alignment horizontal="left" vertical="center" wrapText="1"/>
    </xf>
    <xf numFmtId="164" fontId="7" fillId="3" borderId="22" xfId="0" applyNumberFormat="1" applyFont="1" applyFill="1" applyBorder="1" applyAlignment="1">
      <alignment horizontal="left" vertical="center" wrapText="1"/>
    </xf>
    <xf numFmtId="0" fontId="4" fillId="0" borderId="98" xfId="0" applyFont="1" applyBorder="1" applyAlignment="1">
      <alignment horizontal="right" vertical="top" wrapText="1"/>
    </xf>
    <xf numFmtId="0" fontId="4" fillId="0" borderId="101" xfId="2" applyBorder="1" applyAlignment="1">
      <alignment horizontal="left" vertical="top" wrapText="1"/>
    </xf>
    <xf numFmtId="0" fontId="4" fillId="0" borderId="10" xfId="2" applyBorder="1" applyAlignment="1">
      <alignment horizontal="left" vertical="top" wrapText="1"/>
    </xf>
    <xf numFmtId="0" fontId="4" fillId="0" borderId="19" xfId="2" applyBorder="1" applyAlignment="1">
      <alignment horizontal="left" vertical="top" wrapText="1"/>
    </xf>
    <xf numFmtId="164" fontId="4" fillId="0" borderId="6" xfId="0" applyNumberFormat="1" applyFont="1" applyBorder="1" applyAlignment="1">
      <alignment horizontal="left" vertical="top" wrapText="1"/>
    </xf>
    <xf numFmtId="0" fontId="4" fillId="0" borderId="2" xfId="0" quotePrefix="1" applyFont="1" applyBorder="1" applyAlignment="1">
      <alignment vertical="top" wrapText="1"/>
    </xf>
    <xf numFmtId="0" fontId="4" fillId="0" borderId="37" xfId="0" quotePrefix="1" applyFont="1" applyBorder="1" applyAlignment="1">
      <alignment vertical="top" wrapText="1"/>
    </xf>
    <xf numFmtId="0" fontId="4" fillId="0" borderId="2" xfId="0" quotePrefix="1" applyFont="1" applyBorder="1" applyAlignment="1">
      <alignment horizontal="left" vertical="top" wrapText="1"/>
    </xf>
    <xf numFmtId="0" fontId="4" fillId="0" borderId="37" xfId="0" quotePrefix="1" applyFont="1" applyBorder="1" applyAlignment="1">
      <alignment horizontal="left" vertical="top" wrapText="1"/>
    </xf>
    <xf numFmtId="0" fontId="4" fillId="0" borderId="77" xfId="2" applyBorder="1" applyAlignment="1">
      <alignment horizontal="left" vertical="top" wrapText="1"/>
    </xf>
    <xf numFmtId="0" fontId="4" fillId="0" borderId="22" xfId="2" applyBorder="1" applyAlignment="1">
      <alignment horizontal="left" vertical="top" wrapText="1"/>
    </xf>
    <xf numFmtId="0" fontId="4" fillId="0" borderId="61" xfId="2" applyBorder="1" applyAlignment="1">
      <alignment horizontal="left" vertical="top" wrapText="1"/>
    </xf>
    <xf numFmtId="0" fontId="4" fillId="2" borderId="76" xfId="2" applyFill="1" applyBorder="1" applyAlignment="1">
      <alignment horizontal="left" vertical="top" wrapText="1"/>
    </xf>
    <xf numFmtId="0" fontId="4" fillId="2" borderId="33" xfId="2" applyFill="1" applyBorder="1" applyAlignment="1">
      <alignment horizontal="left" vertical="top" wrapText="1"/>
    </xf>
    <xf numFmtId="0" fontId="4" fillId="2" borderId="60" xfId="2" applyFill="1" applyBorder="1" applyAlignment="1">
      <alignment horizontal="left" vertical="top" wrapText="1"/>
    </xf>
    <xf numFmtId="0" fontId="4" fillId="2" borderId="56" xfId="2" applyFill="1" applyBorder="1" applyAlignment="1">
      <alignment horizontal="left" vertical="top" wrapText="1"/>
    </xf>
    <xf numFmtId="0" fontId="4" fillId="2" borderId="20" xfId="2" applyFill="1" applyBorder="1" applyAlignment="1">
      <alignment horizontal="left" vertical="top" wrapText="1"/>
    </xf>
    <xf numFmtId="0" fontId="4" fillId="2" borderId="37" xfId="2" applyFill="1" applyBorder="1" applyAlignment="1">
      <alignment horizontal="left" vertical="top" wrapText="1"/>
    </xf>
    <xf numFmtId="164" fontId="2" fillId="8" borderId="5" xfId="0" applyNumberFormat="1" applyFont="1" applyFill="1" applyBorder="1" applyAlignment="1">
      <alignment horizontal="center" vertical="center"/>
    </xf>
    <xf numFmtId="164" fontId="2" fillId="8" borderId="6" xfId="0" applyNumberFormat="1" applyFont="1" applyFill="1" applyBorder="1" applyAlignment="1">
      <alignment horizontal="center" vertical="center"/>
    </xf>
    <xf numFmtId="164" fontId="2" fillId="8" borderId="7" xfId="0" applyNumberFormat="1" applyFont="1" applyFill="1" applyBorder="1" applyAlignment="1">
      <alignment horizontal="center" vertical="center"/>
    </xf>
    <xf numFmtId="0" fontId="4" fillId="2" borderId="17" xfId="2" applyFill="1" applyBorder="1" applyAlignment="1">
      <alignment horizontal="left" vertical="top" wrapText="1"/>
    </xf>
    <xf numFmtId="0" fontId="4" fillId="2" borderId="14" xfId="2" applyFill="1" applyBorder="1" applyAlignment="1">
      <alignment horizontal="left" vertical="top" wrapText="1"/>
    </xf>
    <xf numFmtId="0" fontId="4" fillId="0" borderId="25" xfId="0" quotePrefix="1" applyFont="1" applyBorder="1" applyAlignment="1">
      <alignment horizontal="right" vertical="top" wrapText="1"/>
    </xf>
    <xf numFmtId="164" fontId="8" fillId="9" borderId="5" xfId="0" applyNumberFormat="1" applyFont="1" applyFill="1" applyBorder="1" applyAlignment="1">
      <alignment horizontal="center" vertical="center"/>
    </xf>
    <xf numFmtId="164" fontId="8" fillId="9" borderId="6" xfId="0" applyNumberFormat="1" applyFont="1" applyFill="1" applyBorder="1" applyAlignment="1">
      <alignment horizontal="center" vertical="center"/>
    </xf>
    <xf numFmtId="164" fontId="8" fillId="9" borderId="7" xfId="0" applyNumberFormat="1" applyFont="1" applyFill="1" applyBorder="1" applyAlignment="1">
      <alignment horizontal="center" vertical="center"/>
    </xf>
    <xf numFmtId="0" fontId="4" fillId="0" borderId="21" xfId="0" quotePrefix="1" applyFont="1" applyBorder="1" applyAlignment="1" applyProtection="1">
      <alignment horizontal="right" vertical="top" wrapText="1"/>
      <protection locked="0"/>
    </xf>
    <xf numFmtId="0" fontId="4" fillId="0" borderId="61" xfId="0" quotePrefix="1" applyFont="1" applyBorder="1" applyAlignment="1" applyProtection="1">
      <alignment horizontal="right" vertical="top" wrapText="1"/>
      <protection locked="0"/>
    </xf>
    <xf numFmtId="0" fontId="4" fillId="0" borderId="28" xfId="0" quotePrefix="1" applyFont="1" applyBorder="1" applyAlignment="1">
      <alignment vertical="top" wrapText="1"/>
    </xf>
    <xf numFmtId="0" fontId="4" fillId="0" borderId="7" xfId="0" quotePrefix="1" applyFont="1" applyBorder="1" applyAlignment="1">
      <alignment vertical="top" wrapText="1"/>
    </xf>
    <xf numFmtId="164" fontId="7" fillId="3" borderId="5" xfId="0" applyNumberFormat="1" applyFont="1" applyFill="1" applyBorder="1" applyAlignment="1">
      <alignment vertical="center"/>
    </xf>
    <xf numFmtId="164" fontId="7" fillId="3" borderId="6" xfId="0" applyNumberFormat="1" applyFont="1" applyFill="1" applyBorder="1" applyAlignment="1">
      <alignment vertical="center"/>
    </xf>
    <xf numFmtId="164" fontId="7" fillId="3" borderId="7" xfId="0" applyNumberFormat="1" applyFont="1" applyFill="1" applyBorder="1" applyAlignment="1">
      <alignment vertical="center"/>
    </xf>
    <xf numFmtId="0" fontId="5" fillId="3" borderId="28" xfId="0" applyFont="1" applyFill="1" applyBorder="1" applyAlignment="1">
      <alignment vertical="center" wrapText="1"/>
    </xf>
    <xf numFmtId="0" fontId="5" fillId="3" borderId="7" xfId="0" applyFont="1" applyFill="1" applyBorder="1" applyAlignment="1">
      <alignment vertical="center" wrapText="1"/>
    </xf>
    <xf numFmtId="0" fontId="4" fillId="0" borderId="5" xfId="0" applyFont="1" applyBorder="1" applyAlignment="1">
      <alignment horizontal="right" vertical="top" wrapText="1"/>
    </xf>
    <xf numFmtId="164" fontId="7" fillId="3" borderId="15" xfId="0" applyNumberFormat="1" applyFont="1" applyFill="1" applyBorder="1" applyAlignment="1" applyProtection="1">
      <alignment horizontal="center" vertical="center" wrapText="1"/>
      <protection hidden="1"/>
    </xf>
    <xf numFmtId="164" fontId="7" fillId="3" borderId="16" xfId="0" applyNumberFormat="1" applyFont="1" applyFill="1" applyBorder="1" applyAlignment="1" applyProtection="1">
      <alignment horizontal="center" vertical="center" wrapText="1"/>
      <protection hidden="1"/>
    </xf>
    <xf numFmtId="0" fontId="5" fillId="3" borderId="64" xfId="0" applyFont="1" applyFill="1" applyBorder="1" applyAlignment="1" applyProtection="1">
      <alignment horizontal="center" vertical="center" wrapText="1"/>
      <protection hidden="1"/>
    </xf>
    <xf numFmtId="0" fontId="5" fillId="3" borderId="63" xfId="0" applyFont="1" applyFill="1" applyBorder="1" applyAlignment="1" applyProtection="1">
      <alignment horizontal="center" vertical="center" wrapText="1"/>
      <protection hidden="1"/>
    </xf>
    <xf numFmtId="0" fontId="5" fillId="3" borderId="66" xfId="0" applyFont="1" applyFill="1" applyBorder="1" applyAlignment="1" applyProtection="1">
      <alignment horizontal="center" vertical="center" wrapText="1"/>
      <protection hidden="1"/>
    </xf>
    <xf numFmtId="0" fontId="5" fillId="3" borderId="65" xfId="0" applyFont="1" applyFill="1" applyBorder="1" applyAlignment="1" applyProtection="1">
      <alignment horizontal="center" vertical="center" wrapText="1"/>
      <protection hidden="1"/>
    </xf>
    <xf numFmtId="0" fontId="5" fillId="3" borderId="5" xfId="0" applyFont="1" applyFill="1" applyBorder="1" applyAlignment="1">
      <alignment horizontal="left" vertical="center" wrapText="1"/>
    </xf>
    <xf numFmtId="0" fontId="5" fillId="3" borderId="10" xfId="0" applyFont="1" applyFill="1" applyBorder="1" applyAlignment="1">
      <alignment horizontal="left" vertical="top" wrapText="1"/>
    </xf>
    <xf numFmtId="0" fontId="5" fillId="3" borderId="102" xfId="0" applyFont="1" applyFill="1" applyBorder="1" applyAlignment="1">
      <alignment horizontal="left" vertical="top" wrapText="1"/>
    </xf>
    <xf numFmtId="0" fontId="4" fillId="0" borderId="10" xfId="0" applyFont="1" applyBorder="1" applyAlignment="1">
      <alignment horizontal="right" vertical="top" wrapText="1"/>
    </xf>
    <xf numFmtId="0" fontId="4" fillId="0" borderId="102" xfId="0" applyFont="1" applyBorder="1" applyAlignment="1">
      <alignment horizontal="right" vertical="top" wrapText="1"/>
    </xf>
    <xf numFmtId="0" fontId="4" fillId="0" borderId="10" xfId="0" quotePrefix="1" applyFont="1" applyBorder="1" applyAlignment="1">
      <alignment horizontal="right" vertical="top" wrapText="1"/>
    </xf>
    <xf numFmtId="0" fontId="4" fillId="0" borderId="102" xfId="0" quotePrefix="1" applyFont="1" applyBorder="1" applyAlignment="1">
      <alignment horizontal="right" vertical="top" wrapText="1"/>
    </xf>
    <xf numFmtId="0" fontId="4" fillId="0" borderId="20" xfId="0" applyFont="1" applyBorder="1" applyAlignment="1">
      <alignment horizontal="right" vertical="top" wrapText="1"/>
    </xf>
    <xf numFmtId="0" fontId="4" fillId="0" borderId="22" xfId="0" applyFont="1" applyBorder="1" applyAlignment="1">
      <alignment horizontal="right" vertical="top" wrapText="1"/>
    </xf>
    <xf numFmtId="0" fontId="4" fillId="0" borderId="17" xfId="2" applyBorder="1" applyAlignment="1">
      <alignment vertical="top" wrapText="1"/>
    </xf>
    <xf numFmtId="0" fontId="4" fillId="0" borderId="14" xfId="2" applyBorder="1" applyAlignment="1">
      <alignment vertical="top" wrapText="1"/>
    </xf>
    <xf numFmtId="0" fontId="4" fillId="0" borderId="33" xfId="0" applyFont="1" applyBorder="1" applyAlignment="1">
      <alignment horizontal="right" vertical="top" wrapText="1"/>
    </xf>
    <xf numFmtId="0" fontId="4" fillId="0" borderId="11" xfId="2" applyBorder="1" applyAlignment="1">
      <alignment vertical="top" wrapText="1"/>
    </xf>
    <xf numFmtId="0" fontId="4" fillId="2" borderId="28" xfId="1" applyNumberFormat="1" applyFont="1" applyFill="1" applyBorder="1" applyAlignment="1" applyProtection="1">
      <alignment vertical="top" wrapText="1"/>
    </xf>
    <xf numFmtId="0" fontId="4" fillId="2" borderId="6" xfId="1" applyNumberFormat="1" applyFont="1" applyFill="1" applyBorder="1" applyAlignment="1" applyProtection="1">
      <alignment vertical="top" wrapText="1"/>
    </xf>
    <xf numFmtId="0" fontId="4" fillId="2" borderId="7" xfId="1" applyNumberFormat="1" applyFont="1" applyFill="1" applyBorder="1" applyAlignment="1" applyProtection="1">
      <alignment vertical="top" wrapText="1"/>
    </xf>
    <xf numFmtId="0" fontId="4" fillId="0" borderId="95" xfId="0" applyFont="1" applyBorder="1" applyAlignment="1">
      <alignment vertical="top" wrapText="1"/>
    </xf>
    <xf numFmtId="0" fontId="4" fillId="0" borderId="96" xfId="0" applyFont="1" applyBorder="1" applyAlignment="1">
      <alignment vertical="top" wrapText="1"/>
    </xf>
    <xf numFmtId="0" fontId="4" fillId="0" borderId="100" xfId="0" applyFont="1" applyBorder="1" applyAlignment="1">
      <alignment vertical="top" wrapText="1"/>
    </xf>
    <xf numFmtId="0" fontId="4" fillId="0" borderId="26" xfId="0" applyFont="1" applyBorder="1" applyAlignment="1">
      <alignment vertical="top" wrapText="1"/>
    </xf>
    <xf numFmtId="0" fontId="4" fillId="0" borderId="29" xfId="0" applyFont="1" applyBorder="1" applyAlignment="1">
      <alignment vertical="top" wrapText="1"/>
    </xf>
    <xf numFmtId="0" fontId="4" fillId="0" borderId="38" xfId="0" applyFont="1" applyBorder="1" applyAlignment="1">
      <alignment vertical="top" wrapText="1"/>
    </xf>
    <xf numFmtId="0" fontId="4" fillId="0" borderId="27" xfId="0" applyFont="1" applyBorder="1" applyAlignment="1">
      <alignment vertical="top" wrapText="1"/>
    </xf>
    <xf numFmtId="0" fontId="4" fillId="0" borderId="30" xfId="0" applyFont="1" applyBorder="1" applyAlignment="1">
      <alignment vertical="top" wrapText="1"/>
    </xf>
    <xf numFmtId="0" fontId="4" fillId="0" borderId="46" xfId="0" applyFont="1" applyBorder="1" applyAlignment="1">
      <alignment vertical="top" wrapText="1"/>
    </xf>
    <xf numFmtId="0" fontId="4" fillId="0" borderId="23" xfId="0" applyFont="1" applyBorder="1" applyAlignment="1">
      <alignment vertical="top" wrapText="1"/>
    </xf>
    <xf numFmtId="0" fontId="4" fillId="0" borderId="24" xfId="0" applyFont="1" applyBorder="1" applyAlignment="1">
      <alignment vertical="top" wrapText="1"/>
    </xf>
    <xf numFmtId="0" fontId="4" fillId="0" borderId="36" xfId="0" applyFont="1" applyBorder="1" applyAlignment="1">
      <alignment vertical="top" wrapText="1"/>
    </xf>
    <xf numFmtId="164" fontId="8" fillId="9" borderId="76" xfId="0" applyNumberFormat="1" applyFont="1" applyFill="1" applyBorder="1" applyAlignment="1">
      <alignment horizontal="center" vertical="center"/>
    </xf>
    <xf numFmtId="164" fontId="8" fillId="9" borderId="33" xfId="0" applyNumberFormat="1" applyFont="1" applyFill="1" applyBorder="1" applyAlignment="1">
      <alignment horizontal="center" vertical="center"/>
    </xf>
    <xf numFmtId="164" fontId="8" fillId="9" borderId="60" xfId="0" applyNumberFormat="1" applyFont="1" applyFill="1" applyBorder="1" applyAlignment="1">
      <alignment horizontal="center" vertical="center"/>
    </xf>
    <xf numFmtId="164" fontId="2" fillId="9" borderId="5" xfId="0" applyNumberFormat="1" applyFont="1" applyFill="1" applyBorder="1" applyAlignment="1">
      <alignment horizontal="center" vertical="center"/>
    </xf>
    <xf numFmtId="164" fontId="2" fillId="9" borderId="6" xfId="0" applyNumberFormat="1" applyFont="1" applyFill="1" applyBorder="1" applyAlignment="1">
      <alignment horizontal="center" vertical="center"/>
    </xf>
    <xf numFmtId="164" fontId="2" fillId="9" borderId="7" xfId="0" applyNumberFormat="1" applyFont="1" applyFill="1" applyBorder="1" applyAlignment="1">
      <alignment horizontal="center" vertical="center"/>
    </xf>
    <xf numFmtId="0" fontId="4" fillId="0" borderId="82" xfId="2" applyBorder="1" applyAlignment="1">
      <alignment horizontal="left" vertical="top" wrapText="1"/>
    </xf>
    <xf numFmtId="0" fontId="4" fillId="0" borderId="78" xfId="2" applyBorder="1" applyAlignment="1">
      <alignment horizontal="left" vertical="top" wrapText="1"/>
    </xf>
    <xf numFmtId="0" fontId="4" fillId="0" borderId="85" xfId="0" applyFont="1" applyBorder="1" applyAlignment="1">
      <alignment horizontal="right" vertical="top" wrapText="1"/>
    </xf>
    <xf numFmtId="0" fontId="4" fillId="0" borderId="84" xfId="0" applyFont="1" applyBorder="1" applyAlignment="1">
      <alignment horizontal="right" vertical="top" wrapText="1"/>
    </xf>
    <xf numFmtId="164" fontId="2" fillId="13" borderId="5" xfId="0" applyNumberFormat="1" applyFont="1" applyFill="1" applyBorder="1" applyAlignment="1">
      <alignment horizontal="center" vertical="center"/>
    </xf>
    <xf numFmtId="164" fontId="2" fillId="13" borderId="6" xfId="0" applyNumberFormat="1" applyFont="1" applyFill="1" applyBorder="1" applyAlignment="1">
      <alignment horizontal="center" vertical="center"/>
    </xf>
    <xf numFmtId="164" fontId="2" fillId="13" borderId="7" xfId="0" applyNumberFormat="1" applyFont="1" applyFill="1" applyBorder="1" applyAlignment="1">
      <alignment horizontal="center" vertical="center"/>
    </xf>
    <xf numFmtId="164" fontId="8" fillId="14" borderId="5" xfId="0" applyNumberFormat="1" applyFont="1" applyFill="1" applyBorder="1" applyAlignment="1">
      <alignment horizontal="center" vertical="center"/>
    </xf>
    <xf numFmtId="164" fontId="8" fillId="14" borderId="6" xfId="0" applyNumberFormat="1" applyFont="1" applyFill="1" applyBorder="1" applyAlignment="1">
      <alignment horizontal="center" vertical="center"/>
    </xf>
    <xf numFmtId="164" fontId="8" fillId="14" borderId="7" xfId="0" applyNumberFormat="1" applyFont="1" applyFill="1" applyBorder="1" applyAlignment="1">
      <alignment horizontal="center" vertical="center"/>
    </xf>
    <xf numFmtId="164" fontId="7" fillId="3" borderId="5" xfId="0" applyNumberFormat="1" applyFont="1" applyFill="1" applyBorder="1" applyAlignment="1" applyProtection="1">
      <alignment horizontal="center" vertical="center"/>
      <protection hidden="1"/>
    </xf>
    <xf numFmtId="164" fontId="7" fillId="3" borderId="7" xfId="0" applyNumberFormat="1" applyFont="1" applyFill="1" applyBorder="1" applyAlignment="1" applyProtection="1">
      <alignment horizontal="center" vertical="center"/>
      <protection hidden="1"/>
    </xf>
    <xf numFmtId="0" fontId="0" fillId="0" borderId="0" xfId="0" applyAlignment="1">
      <alignment wrapText="1"/>
    </xf>
    <xf numFmtId="0" fontId="0" fillId="16" borderId="0" xfId="0" applyFill="1"/>
    <xf numFmtId="0" fontId="0" fillId="0" borderId="0" xfId="0"/>
  </cellXfs>
  <cellStyles count="7">
    <cellStyle name="Currency" xfId="1" builtinId="4"/>
    <cellStyle name="Heading 3" xfId="3" builtinId="18"/>
    <cellStyle name="Hyperlink" xfId="4" builtinId="8"/>
    <cellStyle name="Normal" xfId="0" builtinId="0"/>
    <cellStyle name="Normal 2" xfId="2" xr:uid="{00000000-0005-0000-0000-000002000000}"/>
    <cellStyle name="Normal 3" xfId="6" xr:uid="{E6D2D6DE-604B-4875-9F37-4BB9044CD8AC}"/>
    <cellStyle name="Percent" xfId="5" builtinId="5"/>
  </cellStyles>
  <dxfs count="160">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strike val="0"/>
      </font>
      <border>
        <left style="thick">
          <color auto="1"/>
        </left>
        <right style="thick">
          <color auto="1"/>
        </right>
        <top style="thick">
          <color auto="1"/>
        </top>
        <bottom style="thick">
          <color auto="1"/>
        </bottom>
        <vertical style="thick">
          <color auto="1"/>
        </vertical>
        <horizontal style="thick">
          <color auto="1"/>
        </horizontal>
      </border>
    </dxf>
  </dxfs>
  <tableStyles count="1" defaultTableStyle="TableStyleMedium2" defaultPivotStyle="PivotStyleLight16">
    <tableStyle name="Table Style 1" pivot="0" count="1" xr9:uid="{4FFB7DF5-C37D-4BD2-8225-F77A5CB80102}">
      <tableStyleElement type="firstColumn" dxfId="159"/>
    </tableStyle>
  </tableStyles>
  <colors>
    <mruColors>
      <color rgb="FFCC66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data.bls.gov/timeseries/WPU141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B1:G23"/>
  <sheetViews>
    <sheetView showGridLines="0" tabSelected="1" zoomScaleNormal="100" workbookViewId="0">
      <selection activeCell="B1" sqref="B1:G1"/>
    </sheetView>
  </sheetViews>
  <sheetFormatPr defaultColWidth="9.140625" defaultRowHeight="14.25" x14ac:dyDescent="0.25"/>
  <cols>
    <col min="1" max="1" width="2.5703125" style="231" customWidth="1"/>
    <col min="2" max="2" width="14.7109375" style="231" bestFit="1" customWidth="1"/>
    <col min="3" max="3" width="55.85546875" style="231" customWidth="1"/>
    <col min="4" max="4" width="31.7109375" style="231" customWidth="1"/>
    <col min="5" max="5" width="40.42578125" style="231" customWidth="1"/>
    <col min="6" max="6" width="13.5703125" style="231" customWidth="1"/>
    <col min="7" max="7" width="9.42578125" style="231" customWidth="1"/>
    <col min="8" max="16384" width="9.140625" style="231"/>
  </cols>
  <sheetData>
    <row r="1" spans="2:7" s="223" customFormat="1" ht="84" customHeight="1" x14ac:dyDescent="0.25">
      <c r="B1" s="308" t="s">
        <v>616</v>
      </c>
      <c r="C1" s="308"/>
      <c r="D1" s="308"/>
      <c r="E1" s="308"/>
      <c r="F1" s="308"/>
      <c r="G1" s="308"/>
    </row>
    <row r="2" spans="2:7" s="223" customFormat="1" ht="60" customHeight="1" x14ac:dyDescent="0.25">
      <c r="B2" s="308" t="s">
        <v>329</v>
      </c>
      <c r="C2" s="308"/>
      <c r="D2" s="308"/>
      <c r="E2" s="308"/>
      <c r="F2" s="308"/>
      <c r="G2" s="308"/>
    </row>
    <row r="3" spans="2:7" s="224" customFormat="1" ht="55.5" customHeight="1" x14ac:dyDescent="0.25">
      <c r="B3" s="313" t="s">
        <v>199</v>
      </c>
      <c r="C3" s="313"/>
      <c r="D3" s="313"/>
      <c r="E3" s="313"/>
      <c r="F3" s="313"/>
      <c r="G3" s="313"/>
    </row>
    <row r="4" spans="2:7" s="226" customFormat="1" ht="33.75" customHeight="1" thickBot="1" x14ac:dyDescent="0.3">
      <c r="B4" s="309" t="s">
        <v>15</v>
      </c>
      <c r="C4" s="309"/>
      <c r="D4" s="225"/>
      <c r="E4" s="225"/>
      <c r="F4" s="225"/>
      <c r="G4" s="225"/>
    </row>
    <row r="5" spans="2:7" ht="36" customHeight="1" thickBot="1" x14ac:dyDescent="0.3">
      <c r="B5" s="227" t="s">
        <v>182</v>
      </c>
      <c r="C5" s="228" t="s">
        <v>149</v>
      </c>
      <c r="D5" s="228" t="s">
        <v>178</v>
      </c>
      <c r="E5" s="229" t="s">
        <v>233</v>
      </c>
      <c r="F5" s="230" t="s">
        <v>18</v>
      </c>
      <c r="G5" s="230" t="s">
        <v>121</v>
      </c>
    </row>
    <row r="6" spans="2:7" s="175" customFormat="1" ht="26.25" thickBot="1" x14ac:dyDescent="0.3">
      <c r="B6" s="232" t="s">
        <v>231</v>
      </c>
      <c r="C6" s="310" t="s">
        <v>232</v>
      </c>
      <c r="D6" s="311"/>
      <c r="E6" s="311"/>
      <c r="F6" s="311"/>
      <c r="G6" s="312"/>
    </row>
    <row r="7" spans="2:7" s="175" customFormat="1" ht="90" thickTop="1" x14ac:dyDescent="0.25">
      <c r="B7" s="233" t="s">
        <v>280</v>
      </c>
      <c r="C7" s="234" t="s">
        <v>286</v>
      </c>
      <c r="D7" s="235" t="s">
        <v>17</v>
      </c>
      <c r="E7" s="236" t="s">
        <v>330</v>
      </c>
      <c r="F7" s="234" t="s">
        <v>281</v>
      </c>
      <c r="G7" s="237"/>
    </row>
    <row r="8" spans="2:7" s="175" customFormat="1" ht="89.25" x14ac:dyDescent="0.25">
      <c r="B8" s="233" t="s">
        <v>279</v>
      </c>
      <c r="C8" s="238" t="s">
        <v>285</v>
      </c>
      <c r="D8" s="235" t="s">
        <v>17</v>
      </c>
      <c r="E8" s="236" t="s">
        <v>330</v>
      </c>
      <c r="F8" s="234" t="s">
        <v>276</v>
      </c>
      <c r="G8" s="239"/>
    </row>
    <row r="9" spans="2:7" s="175" customFormat="1" ht="89.25" x14ac:dyDescent="0.25">
      <c r="B9" s="233" t="s">
        <v>555</v>
      </c>
      <c r="C9" s="238" t="s">
        <v>556</v>
      </c>
      <c r="D9" s="235" t="s">
        <v>184</v>
      </c>
      <c r="E9" s="236" t="s">
        <v>330</v>
      </c>
      <c r="F9" s="234" t="s">
        <v>276</v>
      </c>
      <c r="G9" s="239"/>
    </row>
    <row r="10" spans="2:7" s="175" customFormat="1" ht="89.25" x14ac:dyDescent="0.25">
      <c r="B10" s="233" t="s">
        <v>277</v>
      </c>
      <c r="C10" s="234" t="s">
        <v>284</v>
      </c>
      <c r="D10" s="235" t="s">
        <v>17</v>
      </c>
      <c r="E10" s="236" t="s">
        <v>330</v>
      </c>
      <c r="F10" s="234" t="s">
        <v>66</v>
      </c>
      <c r="G10" s="237"/>
    </row>
    <row r="11" spans="2:7" s="175" customFormat="1" ht="89.25" x14ac:dyDescent="0.25">
      <c r="B11" s="233" t="s">
        <v>601</v>
      </c>
      <c r="C11" s="234" t="s">
        <v>602</v>
      </c>
      <c r="D11" s="235" t="s">
        <v>184</v>
      </c>
      <c r="E11" s="236" t="s">
        <v>330</v>
      </c>
      <c r="F11" s="234" t="s">
        <v>66</v>
      </c>
      <c r="G11" s="237"/>
    </row>
    <row r="12" spans="2:7" s="175" customFormat="1" ht="89.25" x14ac:dyDescent="0.25">
      <c r="B12" s="233" t="s">
        <v>278</v>
      </c>
      <c r="C12" s="234" t="s">
        <v>283</v>
      </c>
      <c r="D12" s="235" t="s">
        <v>304</v>
      </c>
      <c r="E12" s="236" t="s">
        <v>330</v>
      </c>
      <c r="F12" s="234" t="s">
        <v>282</v>
      </c>
      <c r="G12" s="237"/>
    </row>
    <row r="13" spans="2:7" s="175" customFormat="1" ht="89.25" x14ac:dyDescent="0.25">
      <c r="B13" s="233" t="s">
        <v>234</v>
      </c>
      <c r="C13" s="234" t="s">
        <v>235</v>
      </c>
      <c r="D13" s="235" t="s">
        <v>19</v>
      </c>
      <c r="E13" s="236" t="s">
        <v>330</v>
      </c>
      <c r="F13" s="234" t="s">
        <v>66</v>
      </c>
      <c r="G13" s="240"/>
    </row>
    <row r="14" spans="2:7" s="175" customFormat="1" ht="93.75" customHeight="1" x14ac:dyDescent="0.25">
      <c r="B14" s="233" t="s">
        <v>236</v>
      </c>
      <c r="C14" s="234" t="s">
        <v>237</v>
      </c>
      <c r="D14" s="235" t="s">
        <v>19</v>
      </c>
      <c r="E14" s="236" t="s">
        <v>330</v>
      </c>
      <c r="F14" s="234" t="s">
        <v>238</v>
      </c>
      <c r="G14" s="241"/>
    </row>
    <row r="15" spans="2:7" s="175" customFormat="1" ht="93.75" customHeight="1" x14ac:dyDescent="0.25">
      <c r="B15" s="233" t="s">
        <v>603</v>
      </c>
      <c r="C15" s="234" t="s">
        <v>604</v>
      </c>
      <c r="D15" s="235" t="s">
        <v>184</v>
      </c>
      <c r="E15" s="236" t="s">
        <v>330</v>
      </c>
      <c r="F15" s="234" t="s">
        <v>238</v>
      </c>
      <c r="G15" s="241"/>
    </row>
    <row r="16" spans="2:7" ht="93.75" customHeight="1" x14ac:dyDescent="0.25">
      <c r="B16" s="233" t="s">
        <v>239</v>
      </c>
      <c r="C16" s="234" t="s">
        <v>242</v>
      </c>
      <c r="D16" s="235" t="s">
        <v>331</v>
      </c>
      <c r="E16" s="236" t="s">
        <v>330</v>
      </c>
      <c r="F16" s="234" t="s">
        <v>240</v>
      </c>
      <c r="G16" s="241"/>
    </row>
    <row r="17" spans="2:7" ht="91.5" customHeight="1" x14ac:dyDescent="0.25">
      <c r="B17" s="233" t="s">
        <v>241</v>
      </c>
      <c r="C17" s="234" t="s">
        <v>243</v>
      </c>
      <c r="D17" s="235" t="s">
        <v>331</v>
      </c>
      <c r="E17" s="236" t="s">
        <v>330</v>
      </c>
      <c r="F17" s="234" t="s">
        <v>244</v>
      </c>
      <c r="G17" s="242"/>
    </row>
    <row r="18" spans="2:7" ht="92.25" customHeight="1" x14ac:dyDescent="0.25">
      <c r="B18" s="233" t="s">
        <v>245</v>
      </c>
      <c r="C18" s="234" t="s">
        <v>246</v>
      </c>
      <c r="D18" s="235" t="s">
        <v>184</v>
      </c>
      <c r="E18" s="236" t="s">
        <v>330</v>
      </c>
      <c r="F18" s="234" t="s">
        <v>244</v>
      </c>
      <c r="G18" s="241"/>
    </row>
    <row r="19" spans="2:7" ht="89.25" x14ac:dyDescent="0.25">
      <c r="B19" s="233" t="s">
        <v>293</v>
      </c>
      <c r="C19" s="234" t="s">
        <v>292</v>
      </c>
      <c r="D19" s="235" t="s">
        <v>19</v>
      </c>
      <c r="E19" s="236" t="s">
        <v>330</v>
      </c>
      <c r="F19" s="234" t="s">
        <v>66</v>
      </c>
      <c r="G19" s="243"/>
    </row>
    <row r="20" spans="2:7" ht="89.25" x14ac:dyDescent="0.25">
      <c r="B20" s="233" t="s">
        <v>294</v>
      </c>
      <c r="C20" s="234" t="s">
        <v>300</v>
      </c>
      <c r="D20" s="235" t="s">
        <v>19</v>
      </c>
      <c r="E20" s="236" t="s">
        <v>330</v>
      </c>
      <c r="F20" s="234" t="s">
        <v>298</v>
      </c>
      <c r="G20" s="244"/>
    </row>
    <row r="21" spans="2:7" ht="89.25" x14ac:dyDescent="0.25">
      <c r="B21" s="233" t="s">
        <v>295</v>
      </c>
      <c r="C21" s="234" t="s">
        <v>301</v>
      </c>
      <c r="D21" s="235" t="s">
        <v>19</v>
      </c>
      <c r="E21" s="236" t="s">
        <v>330</v>
      </c>
      <c r="F21" s="234" t="s">
        <v>287</v>
      </c>
      <c r="G21" s="243"/>
    </row>
    <row r="22" spans="2:7" ht="89.25" x14ac:dyDescent="0.25">
      <c r="B22" s="233" t="s">
        <v>296</v>
      </c>
      <c r="C22" s="234" t="s">
        <v>302</v>
      </c>
      <c r="D22" s="235" t="s">
        <v>19</v>
      </c>
      <c r="E22" s="236" t="s">
        <v>330</v>
      </c>
      <c r="F22" s="234" t="s">
        <v>66</v>
      </c>
      <c r="G22" s="244"/>
    </row>
    <row r="23" spans="2:7" ht="89.25" x14ac:dyDescent="0.25">
      <c r="B23" s="233" t="s">
        <v>297</v>
      </c>
      <c r="C23" s="234" t="s">
        <v>303</v>
      </c>
      <c r="D23" s="235" t="s">
        <v>331</v>
      </c>
      <c r="E23" s="236" t="s">
        <v>330</v>
      </c>
      <c r="F23" s="234" t="s">
        <v>299</v>
      </c>
      <c r="G23" s="243"/>
    </row>
  </sheetData>
  <sheetProtection algorithmName="SHA-512" hashValue="5n3m4k9YTtDFAbzu5QB7+UJBPx1/1pGWtOjUr1BBWTFEWHt1fqhp/Rs202eLOrfGKBSxBoVFD52XcpQDXNH/sQ==" saltValue="OeXk9/KwLJUfbVh3mRt/eA==" spinCount="100000" sheet="1" objects="1" scenarios="1"/>
  <mergeCells count="5">
    <mergeCell ref="B1:G1"/>
    <mergeCell ref="B4:C4"/>
    <mergeCell ref="C6:G6"/>
    <mergeCell ref="B2:G2"/>
    <mergeCell ref="B3:G3"/>
  </mergeCells>
  <phoneticPr fontId="21" type="noConversion"/>
  <pageMargins left="0.5" right="0.5" top="0.75" bottom="0.25" header="0.3" footer="0.3"/>
  <pageSetup scale="6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12300-BE50-4A75-A16F-65CD259522AB}">
  <sheetPr codeName="Sheet2">
    <tabColor rgb="FFCC66FF"/>
    <pageSetUpPr autoPageBreaks="0" fitToPage="1"/>
  </sheetPr>
  <dimension ref="A1:G128"/>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0.7109375" style="5" customWidth="1"/>
    <col min="7" max="7" width="1.5703125" style="2" customWidth="1"/>
    <col min="8" max="16384" width="9.140625" style="2"/>
  </cols>
  <sheetData>
    <row r="1" spans="1:7" customFormat="1" ht="15" x14ac:dyDescent="0.25">
      <c r="A1" s="245" t="s">
        <v>615</v>
      </c>
      <c r="B1" s="2"/>
      <c r="C1" s="2"/>
      <c r="D1" s="2"/>
      <c r="E1" s="2"/>
      <c r="F1" s="2"/>
      <c r="G1" s="2"/>
    </row>
    <row r="2" spans="1:7" customFormat="1" ht="15.75" thickBot="1" x14ac:dyDescent="0.3">
      <c r="A2" s="19" t="str">
        <f>'Attachment 1 - Summary'!B2</f>
        <v>PC69862 Matthews Buses, Inc.</v>
      </c>
      <c r="B2" s="20"/>
      <c r="C2" s="20"/>
      <c r="D2" s="20"/>
    </row>
    <row r="3" spans="1:7" ht="24" thickBot="1" x14ac:dyDescent="0.25">
      <c r="A3" s="326" t="s">
        <v>102</v>
      </c>
      <c r="B3" s="327"/>
      <c r="C3" s="327"/>
      <c r="D3" s="328"/>
      <c r="E3" s="8"/>
      <c r="F3" s="8"/>
      <c r="G3" s="8"/>
    </row>
    <row r="4" spans="1:7" ht="51" customHeight="1" thickBot="1" x14ac:dyDescent="0.25">
      <c r="A4" s="329" t="s">
        <v>120</v>
      </c>
      <c r="B4" s="330"/>
      <c r="C4" s="330"/>
      <c r="D4" s="331"/>
      <c r="E4" s="8"/>
      <c r="F4" s="8"/>
      <c r="G4" s="8"/>
    </row>
    <row r="5" spans="1:7" s="4" customFormat="1" ht="11.25" customHeight="1" thickBot="1" x14ac:dyDescent="0.3">
      <c r="A5" s="332"/>
      <c r="B5" s="333"/>
      <c r="C5" s="333"/>
      <c r="D5" s="334"/>
      <c r="E5" s="334"/>
      <c r="F5" s="334"/>
      <c r="G5" s="51"/>
    </row>
    <row r="6" spans="1:7" s="7" customFormat="1" ht="32.25" thickBot="1" x14ac:dyDescent="0.25">
      <c r="A6" s="335" t="s">
        <v>151</v>
      </c>
      <c r="B6" s="336"/>
      <c r="C6" s="336"/>
      <c r="D6" s="337"/>
      <c r="E6" s="30"/>
      <c r="F6" s="208" t="s">
        <v>333</v>
      </c>
      <c r="G6" s="30"/>
    </row>
    <row r="7" spans="1:7" s="4" customFormat="1" ht="15" customHeight="1" thickBot="1" x14ac:dyDescent="0.3">
      <c r="A7" s="35" t="s">
        <v>6</v>
      </c>
      <c r="B7" s="21" t="s">
        <v>165</v>
      </c>
      <c r="C7" s="26"/>
      <c r="D7" s="34"/>
      <c r="E7" s="31"/>
      <c r="F7" s="246" t="s">
        <v>17</v>
      </c>
      <c r="G7" s="31"/>
    </row>
    <row r="8" spans="1:7" ht="52.5" thickTop="1" thickBot="1" x14ac:dyDescent="0.25">
      <c r="A8" s="36" t="s">
        <v>9</v>
      </c>
      <c r="B8" s="323" t="s">
        <v>152</v>
      </c>
      <c r="C8" s="324"/>
      <c r="D8" s="325"/>
      <c r="E8" s="12"/>
      <c r="F8" s="178" t="s">
        <v>334</v>
      </c>
      <c r="G8" s="12"/>
    </row>
    <row r="9" spans="1:7" s="7" customFormat="1" ht="44.25" customHeight="1" thickTop="1" thickBot="1" x14ac:dyDescent="0.25">
      <c r="A9" s="36" t="s">
        <v>136</v>
      </c>
      <c r="B9" s="323" t="s">
        <v>191</v>
      </c>
      <c r="C9" s="324"/>
      <c r="D9" s="325"/>
      <c r="E9" s="12"/>
      <c r="F9" s="178" t="s">
        <v>335</v>
      </c>
      <c r="G9" s="12"/>
    </row>
    <row r="10" spans="1:7" ht="12.75" customHeight="1" thickTop="1" x14ac:dyDescent="0.2">
      <c r="A10" s="37" t="s">
        <v>0</v>
      </c>
      <c r="B10" s="314" t="s">
        <v>154</v>
      </c>
      <c r="C10" s="315"/>
      <c r="D10" s="316"/>
      <c r="E10" s="12"/>
      <c r="F10" s="180" t="s">
        <v>305</v>
      </c>
      <c r="G10" s="12"/>
    </row>
    <row r="11" spans="1:7" x14ac:dyDescent="0.2">
      <c r="A11" s="37" t="s">
        <v>1</v>
      </c>
      <c r="B11" s="314" t="s">
        <v>153</v>
      </c>
      <c r="C11" s="315"/>
      <c r="D11" s="316"/>
      <c r="E11" s="12"/>
      <c r="F11" s="180">
        <v>3500</v>
      </c>
      <c r="G11" s="12"/>
    </row>
    <row r="12" spans="1:7" ht="14.1" customHeight="1" thickBot="1" x14ac:dyDescent="0.25">
      <c r="A12" s="38" t="s">
        <v>2</v>
      </c>
      <c r="B12" s="317" t="s">
        <v>155</v>
      </c>
      <c r="C12" s="318"/>
      <c r="D12" s="319"/>
      <c r="E12" s="12"/>
      <c r="F12" s="181" t="s">
        <v>336</v>
      </c>
      <c r="G12" s="12"/>
    </row>
    <row r="13" spans="1:7" ht="13.5" thickTop="1" x14ac:dyDescent="0.2">
      <c r="A13" s="37" t="s">
        <v>3</v>
      </c>
      <c r="B13" s="314" t="s">
        <v>157</v>
      </c>
      <c r="C13" s="315"/>
      <c r="D13" s="316"/>
      <c r="E13" s="12"/>
      <c r="F13" s="180" t="s">
        <v>337</v>
      </c>
      <c r="G13" s="12"/>
    </row>
    <row r="14" spans="1:7" x14ac:dyDescent="0.2">
      <c r="A14" s="37" t="s">
        <v>4</v>
      </c>
      <c r="B14" s="314" t="s">
        <v>156</v>
      </c>
      <c r="C14" s="315"/>
      <c r="D14" s="316"/>
      <c r="E14" s="12"/>
      <c r="F14" s="180" t="s">
        <v>338</v>
      </c>
      <c r="G14" s="12"/>
    </row>
    <row r="15" spans="1:7" ht="15.75" customHeight="1" thickBot="1" x14ac:dyDescent="0.25">
      <c r="A15" s="39" t="s">
        <v>5</v>
      </c>
      <c r="B15" s="317" t="s">
        <v>158</v>
      </c>
      <c r="C15" s="318"/>
      <c r="D15" s="319"/>
      <c r="E15" s="12"/>
      <c r="F15" s="182" t="s">
        <v>339</v>
      </c>
      <c r="G15" s="12"/>
    </row>
    <row r="16" spans="1:7" ht="26.45" customHeight="1" thickTop="1" x14ac:dyDescent="0.2">
      <c r="A16" s="37" t="s">
        <v>101</v>
      </c>
      <c r="B16" s="320" t="s">
        <v>160</v>
      </c>
      <c r="C16" s="321"/>
      <c r="D16" s="322"/>
      <c r="E16" s="12"/>
      <c r="F16" s="183">
        <v>100</v>
      </c>
      <c r="G16" s="12"/>
    </row>
    <row r="17" spans="1:7" ht="30.75" customHeight="1" thickBot="1" x14ac:dyDescent="0.25">
      <c r="A17" s="39" t="s">
        <v>43</v>
      </c>
      <c r="B17" s="317" t="s">
        <v>159</v>
      </c>
      <c r="C17" s="318"/>
      <c r="D17" s="319"/>
      <c r="E17" s="12"/>
      <c r="F17" s="182">
        <v>210</v>
      </c>
      <c r="G17" s="12"/>
    </row>
    <row r="18" spans="1:7" s="9" customFormat="1" ht="14.25" thickTop="1" thickBot="1" x14ac:dyDescent="0.25">
      <c r="C18" s="10"/>
      <c r="D18" s="10"/>
      <c r="E18" s="10"/>
      <c r="F18" s="185"/>
      <c r="G18" s="10"/>
    </row>
    <row r="19" spans="1:7" s="11" customFormat="1" ht="32.25" thickBot="1" x14ac:dyDescent="0.25">
      <c r="A19" s="335" t="s">
        <v>150</v>
      </c>
      <c r="B19" s="336"/>
      <c r="C19" s="336"/>
      <c r="D19" s="337"/>
      <c r="E19" s="30"/>
      <c r="F19" s="208" t="s">
        <v>333</v>
      </c>
      <c r="G19" s="30"/>
    </row>
    <row r="20" spans="1:7" s="4" customFormat="1" ht="15" customHeight="1" thickBot="1" x14ac:dyDescent="0.3">
      <c r="A20" s="49" t="s">
        <v>6</v>
      </c>
      <c r="B20" s="25" t="s">
        <v>165</v>
      </c>
      <c r="C20" s="27"/>
      <c r="D20" s="42"/>
      <c r="E20" s="31"/>
      <c r="F20" s="246" t="s">
        <v>17</v>
      </c>
      <c r="G20" s="31"/>
    </row>
    <row r="21" spans="1:7" ht="56.25" customHeight="1" x14ac:dyDescent="0.2">
      <c r="A21" s="40" t="s">
        <v>42</v>
      </c>
      <c r="B21" s="338" t="s">
        <v>161</v>
      </c>
      <c r="C21" s="339"/>
      <c r="D21" s="340"/>
      <c r="E21" s="12"/>
      <c r="F21" s="247">
        <f>63101.27*('PPI Adj'!D6)</f>
        <v>73639.182090000002</v>
      </c>
      <c r="G21" s="12"/>
    </row>
    <row r="22" spans="1:7" ht="42.75" customHeight="1" x14ac:dyDescent="0.2">
      <c r="A22" s="37" t="s">
        <v>20</v>
      </c>
      <c r="B22" s="314" t="s">
        <v>162</v>
      </c>
      <c r="C22" s="315"/>
      <c r="D22" s="316"/>
      <c r="E22" s="12"/>
      <c r="F22" s="248">
        <f>1641*('PPI Adj'!D6)</f>
        <v>1915.047</v>
      </c>
      <c r="G22" s="12"/>
    </row>
    <row r="23" spans="1:7" ht="28.5" customHeight="1" thickBot="1" x14ac:dyDescent="0.25">
      <c r="A23" s="41" t="s">
        <v>41</v>
      </c>
      <c r="B23" s="359" t="s">
        <v>163</v>
      </c>
      <c r="C23" s="360"/>
      <c r="D23" s="361"/>
      <c r="E23" s="1"/>
      <c r="F23" s="188">
        <v>20</v>
      </c>
      <c r="G23" s="1"/>
    </row>
    <row r="24" spans="1:7" ht="13.5" thickBot="1" x14ac:dyDescent="0.25">
      <c r="A24" s="52"/>
      <c r="B24" s="1"/>
      <c r="C24" s="1"/>
      <c r="D24" s="1"/>
      <c r="E24" s="1"/>
      <c r="F24" s="249"/>
      <c r="G24" s="1"/>
    </row>
    <row r="25" spans="1:7" s="7" customFormat="1" ht="32.25" thickBot="1" x14ac:dyDescent="0.25">
      <c r="A25" s="362" t="s">
        <v>164</v>
      </c>
      <c r="B25" s="363"/>
      <c r="C25" s="363"/>
      <c r="D25" s="364"/>
      <c r="E25" s="32"/>
      <c r="F25" s="208" t="s">
        <v>333</v>
      </c>
      <c r="G25" s="32"/>
    </row>
    <row r="26" spans="1:7" s="3" customFormat="1" ht="15" customHeight="1" thickBot="1" x14ac:dyDescent="0.3">
      <c r="A26" s="49" t="s">
        <v>6</v>
      </c>
      <c r="B26" s="50" t="s">
        <v>7</v>
      </c>
      <c r="C26" s="365" t="s">
        <v>165</v>
      </c>
      <c r="D26" s="366"/>
      <c r="E26" s="33"/>
      <c r="F26" s="246" t="s">
        <v>17</v>
      </c>
      <c r="G26" s="33"/>
    </row>
    <row r="27" spans="1:7" s="12" customFormat="1" ht="28.5" customHeight="1" thickBot="1" x14ac:dyDescent="0.3">
      <c r="A27" s="43" t="s">
        <v>8</v>
      </c>
      <c r="B27" s="23" t="s">
        <v>141</v>
      </c>
      <c r="C27" s="341" t="s">
        <v>118</v>
      </c>
      <c r="D27" s="342"/>
      <c r="E27" s="28"/>
      <c r="F27" s="193">
        <v>9900</v>
      </c>
      <c r="G27" s="28"/>
    </row>
    <row r="28" spans="1:7" s="12" customFormat="1" x14ac:dyDescent="0.25">
      <c r="A28" s="343" t="s">
        <v>21</v>
      </c>
      <c r="B28" s="345" t="s">
        <v>89</v>
      </c>
      <c r="C28" s="347" t="s">
        <v>67</v>
      </c>
      <c r="D28" s="348"/>
      <c r="E28" s="28"/>
      <c r="F28" s="192">
        <v>4</v>
      </c>
      <c r="G28" s="28"/>
    </row>
    <row r="29" spans="1:7" s="12" customFormat="1" ht="13.5" thickBot="1" x14ac:dyDescent="0.3">
      <c r="A29" s="344"/>
      <c r="B29" s="346"/>
      <c r="C29" s="341" t="s">
        <v>68</v>
      </c>
      <c r="D29" s="342"/>
      <c r="E29" s="28"/>
      <c r="F29" s="184">
        <v>16</v>
      </c>
      <c r="G29" s="28"/>
    </row>
    <row r="30" spans="1:7" s="12" customFormat="1" ht="15.95" customHeight="1" thickBot="1" x14ac:dyDescent="0.3">
      <c r="A30" s="44" t="s">
        <v>123</v>
      </c>
      <c r="B30" s="24" t="s">
        <v>119</v>
      </c>
      <c r="C30" s="357"/>
      <c r="D30" s="358"/>
      <c r="E30" s="29"/>
      <c r="F30" s="193"/>
      <c r="G30" s="29"/>
    </row>
    <row r="31" spans="1:7" s="12" customFormat="1" x14ac:dyDescent="0.25">
      <c r="A31" s="343" t="s">
        <v>59</v>
      </c>
      <c r="B31" s="345"/>
      <c r="C31" s="347" t="s">
        <v>58</v>
      </c>
      <c r="D31" s="348"/>
      <c r="E31" s="28"/>
      <c r="F31" s="192">
        <v>139</v>
      </c>
      <c r="G31" s="28"/>
    </row>
    <row r="32" spans="1:7" s="12" customFormat="1" x14ac:dyDescent="0.25">
      <c r="A32" s="351"/>
      <c r="B32" s="352"/>
      <c r="C32" s="353" t="s">
        <v>57</v>
      </c>
      <c r="D32" s="354"/>
      <c r="E32" s="28"/>
      <c r="F32" s="180">
        <v>227.8</v>
      </c>
      <c r="G32" s="28"/>
    </row>
    <row r="33" spans="1:7" s="12" customFormat="1" x14ac:dyDescent="0.25">
      <c r="A33" s="351"/>
      <c r="B33" s="352"/>
      <c r="C33" s="353" t="s">
        <v>69</v>
      </c>
      <c r="D33" s="354"/>
      <c r="E33" s="28"/>
      <c r="F33" s="180">
        <v>78</v>
      </c>
      <c r="G33" s="28"/>
    </row>
    <row r="34" spans="1:7" s="12" customFormat="1" x14ac:dyDescent="0.25">
      <c r="A34" s="351"/>
      <c r="B34" s="352"/>
      <c r="C34" s="355" t="s">
        <v>70</v>
      </c>
      <c r="D34" s="356"/>
      <c r="E34" s="28"/>
      <c r="F34" s="180">
        <v>73</v>
      </c>
      <c r="G34" s="28"/>
    </row>
    <row r="35" spans="1:7" s="12" customFormat="1" ht="14.45" customHeight="1" thickBot="1" x14ac:dyDescent="0.3">
      <c r="A35" s="344"/>
      <c r="B35" s="346"/>
      <c r="C35" s="341" t="s">
        <v>111</v>
      </c>
      <c r="D35" s="342"/>
      <c r="E35" s="28"/>
      <c r="F35" s="184">
        <v>77.599999999999994</v>
      </c>
      <c r="G35" s="28"/>
    </row>
    <row r="36" spans="1:7" s="12" customFormat="1" x14ac:dyDescent="0.25">
      <c r="A36" s="343" t="s">
        <v>11</v>
      </c>
      <c r="B36" s="345"/>
      <c r="C36" s="347" t="s">
        <v>24</v>
      </c>
      <c r="D36" s="348"/>
      <c r="E36" s="28"/>
      <c r="F36" s="192">
        <v>4100</v>
      </c>
      <c r="G36" s="28"/>
    </row>
    <row r="37" spans="1:7" s="12" customFormat="1" ht="15.95" customHeight="1" thickBot="1" x14ac:dyDescent="0.3">
      <c r="A37" s="344"/>
      <c r="B37" s="346"/>
      <c r="C37" s="341" t="s">
        <v>22</v>
      </c>
      <c r="D37" s="342"/>
      <c r="E37" s="28"/>
      <c r="F37" s="184">
        <v>4100</v>
      </c>
      <c r="G37" s="28"/>
    </row>
    <row r="38" spans="1:7" s="12" customFormat="1" x14ac:dyDescent="0.25">
      <c r="A38" s="343" t="s">
        <v>16</v>
      </c>
      <c r="B38" s="345"/>
      <c r="C38" s="347" t="s">
        <v>24</v>
      </c>
      <c r="D38" s="348"/>
      <c r="E38" s="28"/>
      <c r="F38" s="192">
        <v>6084</v>
      </c>
      <c r="G38" s="28"/>
    </row>
    <row r="39" spans="1:7" s="12" customFormat="1" ht="13.5" thickBot="1" x14ac:dyDescent="0.3">
      <c r="A39" s="344"/>
      <c r="B39" s="346"/>
      <c r="C39" s="349" t="s">
        <v>23</v>
      </c>
      <c r="D39" s="350"/>
      <c r="E39" s="28"/>
      <c r="F39" s="184">
        <v>6084</v>
      </c>
      <c r="G39" s="28"/>
    </row>
    <row r="40" spans="1:7" s="12" customFormat="1" ht="15.95" customHeight="1" thickBot="1" x14ac:dyDescent="0.3">
      <c r="A40" s="44" t="s">
        <v>52</v>
      </c>
      <c r="B40" s="24" t="s">
        <v>53</v>
      </c>
      <c r="C40" s="357"/>
      <c r="D40" s="358"/>
      <c r="E40" s="29"/>
      <c r="F40" s="193"/>
      <c r="G40" s="29"/>
    </row>
    <row r="41" spans="1:7" s="12" customFormat="1" ht="13.5" customHeight="1" thickBot="1" x14ac:dyDescent="0.3">
      <c r="A41" s="367" t="s">
        <v>12</v>
      </c>
      <c r="B41" s="368" t="s">
        <v>142</v>
      </c>
      <c r="C41" s="347" t="s">
        <v>174</v>
      </c>
      <c r="D41" s="348"/>
      <c r="E41" s="28"/>
      <c r="F41" s="192" t="s">
        <v>340</v>
      </c>
      <c r="G41" s="28"/>
    </row>
    <row r="42" spans="1:7" s="12" customFormat="1" ht="13.5" customHeight="1" thickBot="1" x14ac:dyDescent="0.3">
      <c r="A42" s="367"/>
      <c r="B42" s="368"/>
      <c r="C42" s="353" t="s">
        <v>175</v>
      </c>
      <c r="D42" s="354"/>
      <c r="E42" s="28"/>
      <c r="F42" s="180" t="s">
        <v>341</v>
      </c>
      <c r="G42" s="28"/>
    </row>
    <row r="43" spans="1:7" s="12" customFormat="1" ht="13.5" customHeight="1" thickBot="1" x14ac:dyDescent="0.3">
      <c r="A43" s="367"/>
      <c r="B43" s="368"/>
      <c r="C43" s="353" t="s">
        <v>176</v>
      </c>
      <c r="D43" s="354"/>
      <c r="E43" s="28"/>
      <c r="F43" s="209" t="s">
        <v>340</v>
      </c>
      <c r="G43" s="28"/>
    </row>
    <row r="44" spans="1:7" s="12" customFormat="1" ht="13.5" customHeight="1" thickBot="1" x14ac:dyDescent="0.3">
      <c r="A44" s="367"/>
      <c r="B44" s="368"/>
      <c r="C44" s="353" t="s">
        <v>177</v>
      </c>
      <c r="D44" s="354"/>
      <c r="E44" s="28"/>
      <c r="F44" s="180" t="s">
        <v>342</v>
      </c>
      <c r="G44" s="28"/>
    </row>
    <row r="45" spans="1:7" s="12" customFormat="1" ht="13.5" customHeight="1" thickBot="1" x14ac:dyDescent="0.3">
      <c r="A45" s="367"/>
      <c r="B45" s="368"/>
      <c r="C45" s="353" t="s">
        <v>112</v>
      </c>
      <c r="D45" s="354"/>
      <c r="E45" s="28"/>
      <c r="F45" s="180" t="s">
        <v>306</v>
      </c>
      <c r="G45" s="28"/>
    </row>
    <row r="46" spans="1:7" s="12" customFormat="1" ht="13.5" customHeight="1" thickBot="1" x14ac:dyDescent="0.3">
      <c r="A46" s="367"/>
      <c r="B46" s="368"/>
      <c r="C46" s="353" t="s">
        <v>113</v>
      </c>
      <c r="D46" s="354"/>
      <c r="E46" s="28"/>
      <c r="F46" s="180" t="s">
        <v>343</v>
      </c>
      <c r="G46" s="28"/>
    </row>
    <row r="47" spans="1:7" s="12" customFormat="1" ht="13.5" customHeight="1" thickBot="1" x14ac:dyDescent="0.3">
      <c r="A47" s="367"/>
      <c r="B47" s="368"/>
      <c r="C47" s="355" t="s">
        <v>114</v>
      </c>
      <c r="D47" s="356"/>
      <c r="E47" s="28"/>
      <c r="F47" s="180" t="s">
        <v>307</v>
      </c>
      <c r="G47" s="28"/>
    </row>
    <row r="48" spans="1:7" s="12" customFormat="1" ht="15" customHeight="1" thickBot="1" x14ac:dyDescent="0.3">
      <c r="A48" s="367"/>
      <c r="B48" s="368"/>
      <c r="C48" s="341" t="s">
        <v>115</v>
      </c>
      <c r="D48" s="342"/>
      <c r="E48" s="28"/>
      <c r="F48" s="184" t="s">
        <v>343</v>
      </c>
      <c r="G48" s="28"/>
    </row>
    <row r="49" spans="1:7" s="12" customFormat="1" ht="14.45" customHeight="1" x14ac:dyDescent="0.25">
      <c r="A49" s="343" t="s">
        <v>10</v>
      </c>
      <c r="B49" s="345" t="s">
        <v>62</v>
      </c>
      <c r="C49" s="347" t="s">
        <v>116</v>
      </c>
      <c r="D49" s="348"/>
      <c r="E49" s="28"/>
      <c r="F49" s="192">
        <v>6</v>
      </c>
      <c r="G49" s="28"/>
    </row>
    <row r="50" spans="1:7" s="12" customFormat="1" x14ac:dyDescent="0.25">
      <c r="A50" s="351"/>
      <c r="B50" s="352"/>
      <c r="C50" s="353" t="s">
        <v>117</v>
      </c>
      <c r="D50" s="354"/>
      <c r="E50" s="28"/>
      <c r="F50" s="180" t="s">
        <v>344</v>
      </c>
      <c r="G50" s="28"/>
    </row>
    <row r="51" spans="1:7" s="12" customFormat="1" ht="13.5" thickBot="1" x14ac:dyDescent="0.3">
      <c r="A51" s="351"/>
      <c r="B51" s="352"/>
      <c r="C51" s="349" t="s">
        <v>71</v>
      </c>
      <c r="D51" s="350"/>
      <c r="E51" s="28"/>
      <c r="F51" s="179" t="s">
        <v>345</v>
      </c>
      <c r="G51" s="28"/>
    </row>
    <row r="52" spans="1:7" s="12" customFormat="1" ht="80.099999999999994" customHeight="1" thickBot="1" x14ac:dyDescent="0.3">
      <c r="A52" s="45" t="s">
        <v>9</v>
      </c>
      <c r="B52" s="22" t="s">
        <v>140</v>
      </c>
      <c r="C52" s="355"/>
      <c r="D52" s="356"/>
      <c r="E52" s="28"/>
      <c r="F52" s="192"/>
      <c r="G52" s="28"/>
    </row>
    <row r="53" spans="1:7" s="12" customFormat="1" x14ac:dyDescent="0.25">
      <c r="A53" s="343" t="s">
        <v>25</v>
      </c>
      <c r="B53" s="345" t="s">
        <v>93</v>
      </c>
      <c r="C53" s="347" t="s">
        <v>72</v>
      </c>
      <c r="D53" s="348"/>
      <c r="E53" s="28"/>
      <c r="F53" s="192" t="s">
        <v>346</v>
      </c>
      <c r="G53" s="28"/>
    </row>
    <row r="54" spans="1:7" s="12" customFormat="1" ht="68.099999999999994" customHeight="1" thickBot="1" x14ac:dyDescent="0.3">
      <c r="A54" s="344"/>
      <c r="B54" s="346"/>
      <c r="C54" s="341" t="s">
        <v>73</v>
      </c>
      <c r="D54" s="342"/>
      <c r="E54" s="28"/>
      <c r="F54" s="184">
        <v>220</v>
      </c>
      <c r="G54" s="28"/>
    </row>
    <row r="55" spans="1:7" s="12" customFormat="1" x14ac:dyDescent="0.25">
      <c r="A55" s="343" t="s">
        <v>26</v>
      </c>
      <c r="B55" s="345"/>
      <c r="C55" s="347" t="s">
        <v>74</v>
      </c>
      <c r="D55" s="348"/>
      <c r="E55" s="28"/>
      <c r="F55" s="192" t="s">
        <v>347</v>
      </c>
      <c r="G55" s="28"/>
    </row>
    <row r="56" spans="1:7" s="12" customFormat="1" x14ac:dyDescent="0.25">
      <c r="A56" s="351"/>
      <c r="B56" s="352"/>
      <c r="C56" s="353" t="s">
        <v>75</v>
      </c>
      <c r="D56" s="354"/>
      <c r="E56" s="28"/>
      <c r="F56" s="180">
        <v>2</v>
      </c>
      <c r="G56" s="28"/>
    </row>
    <row r="57" spans="1:7" s="12" customFormat="1" ht="13.5" thickBot="1" x14ac:dyDescent="0.3">
      <c r="A57" s="344"/>
      <c r="B57" s="346"/>
      <c r="C57" s="341" t="s">
        <v>76</v>
      </c>
      <c r="D57" s="342"/>
      <c r="E57" s="28"/>
      <c r="F57" s="184" t="s">
        <v>348</v>
      </c>
      <c r="G57" s="28"/>
    </row>
    <row r="58" spans="1:7" s="12" customFormat="1" ht="15.95" customHeight="1" thickBot="1" x14ac:dyDescent="0.3">
      <c r="A58" s="44" t="s">
        <v>44</v>
      </c>
      <c r="B58" s="24" t="s">
        <v>45</v>
      </c>
      <c r="C58" s="357"/>
      <c r="D58" s="358"/>
      <c r="E58" s="29"/>
      <c r="F58" s="196"/>
      <c r="G58" s="29"/>
    </row>
    <row r="59" spans="1:7" s="12" customFormat="1" ht="28.5" customHeight="1" thickBot="1" x14ac:dyDescent="0.3">
      <c r="A59" s="44" t="s">
        <v>44</v>
      </c>
      <c r="B59" s="24" t="s">
        <v>63</v>
      </c>
      <c r="C59" s="357"/>
      <c r="D59" s="358"/>
      <c r="E59" s="29"/>
      <c r="F59" s="196"/>
      <c r="G59" s="29"/>
    </row>
    <row r="60" spans="1:7" s="12" customFormat="1" ht="30" customHeight="1" thickBot="1" x14ac:dyDescent="0.3">
      <c r="A60" s="44" t="s">
        <v>44</v>
      </c>
      <c r="B60" s="24" t="s">
        <v>64</v>
      </c>
      <c r="C60" s="357"/>
      <c r="D60" s="358"/>
      <c r="E60" s="29"/>
      <c r="F60" s="196"/>
      <c r="G60" s="29"/>
    </row>
    <row r="61" spans="1:7" s="12" customFormat="1" ht="15.95" customHeight="1" thickBot="1" x14ac:dyDescent="0.3">
      <c r="A61" s="44" t="s">
        <v>50</v>
      </c>
      <c r="B61" s="24" t="s">
        <v>65</v>
      </c>
      <c r="C61" s="357"/>
      <c r="D61" s="358"/>
      <c r="E61" s="29"/>
      <c r="F61" s="196"/>
      <c r="G61" s="29"/>
    </row>
    <row r="62" spans="1:7" s="12" customFormat="1" ht="13.5" thickBot="1" x14ac:dyDescent="0.3">
      <c r="A62" s="44" t="s">
        <v>27</v>
      </c>
      <c r="B62" s="24"/>
      <c r="C62" s="369" t="s">
        <v>77</v>
      </c>
      <c r="D62" s="370"/>
      <c r="E62" s="28"/>
      <c r="F62" s="193" t="s">
        <v>349</v>
      </c>
      <c r="G62" s="28"/>
    </row>
    <row r="63" spans="1:7" s="12" customFormat="1" ht="40.5" customHeight="1" thickBot="1" x14ac:dyDescent="0.3">
      <c r="A63" s="44" t="s">
        <v>28</v>
      </c>
      <c r="B63" s="24" t="s">
        <v>147</v>
      </c>
      <c r="C63" s="369" t="s">
        <v>78</v>
      </c>
      <c r="D63" s="370"/>
      <c r="E63" s="28"/>
      <c r="F63" s="193">
        <v>33</v>
      </c>
      <c r="G63" s="28"/>
    </row>
    <row r="64" spans="1:7" s="12" customFormat="1" ht="40.5" customHeight="1" thickBot="1" x14ac:dyDescent="0.3">
      <c r="A64" s="44" t="s">
        <v>51</v>
      </c>
      <c r="B64" s="24" t="s">
        <v>79</v>
      </c>
      <c r="C64" s="357"/>
      <c r="D64" s="358"/>
      <c r="E64" s="29"/>
      <c r="F64" s="193"/>
      <c r="G64" s="29"/>
    </row>
    <row r="65" spans="1:7" s="12" customFormat="1" ht="41.1" customHeight="1" thickBot="1" x14ac:dyDescent="0.3">
      <c r="A65" s="44" t="s">
        <v>54</v>
      </c>
      <c r="B65" s="24" t="s">
        <v>80</v>
      </c>
      <c r="C65" s="357"/>
      <c r="D65" s="358"/>
      <c r="E65" s="29"/>
      <c r="F65" s="193"/>
      <c r="G65" s="29"/>
    </row>
    <row r="66" spans="1:7" s="12" customFormat="1" ht="77.099999999999994" customHeight="1" thickBot="1" x14ac:dyDescent="0.3">
      <c r="A66" s="44" t="s">
        <v>29</v>
      </c>
      <c r="B66" s="24" t="s">
        <v>126</v>
      </c>
      <c r="C66" s="357"/>
      <c r="D66" s="358"/>
      <c r="E66" s="29"/>
      <c r="F66" s="193"/>
      <c r="G66" s="29"/>
    </row>
    <row r="67" spans="1:7" s="12" customFormat="1" ht="39" thickBot="1" x14ac:dyDescent="0.3">
      <c r="A67" s="44" t="s">
        <v>31</v>
      </c>
      <c r="B67" s="24" t="s">
        <v>94</v>
      </c>
      <c r="C67" s="369" t="s">
        <v>30</v>
      </c>
      <c r="D67" s="370"/>
      <c r="E67" s="28"/>
      <c r="F67" s="193" t="s">
        <v>350</v>
      </c>
      <c r="G67" s="28"/>
    </row>
    <row r="68" spans="1:7" s="12" customFormat="1" ht="26.45" customHeight="1" thickBot="1" x14ac:dyDescent="0.3">
      <c r="A68" s="44" t="s">
        <v>55</v>
      </c>
      <c r="B68" s="24" t="s">
        <v>95</v>
      </c>
      <c r="C68" s="357"/>
      <c r="D68" s="358"/>
      <c r="E68" s="29"/>
      <c r="F68" s="193"/>
      <c r="G68" s="29"/>
    </row>
    <row r="69" spans="1:7" s="12" customFormat="1" ht="26.25" thickBot="1" x14ac:dyDescent="0.3">
      <c r="A69" s="44" t="s">
        <v>32</v>
      </c>
      <c r="B69" s="24" t="s">
        <v>96</v>
      </c>
      <c r="C69" s="369" t="s">
        <v>30</v>
      </c>
      <c r="D69" s="370"/>
      <c r="E69" s="28"/>
      <c r="F69" s="193" t="s">
        <v>351</v>
      </c>
      <c r="G69" s="28"/>
    </row>
    <row r="70" spans="1:7" s="12" customFormat="1" ht="42.6" customHeight="1" thickBot="1" x14ac:dyDescent="0.3">
      <c r="A70" s="44" t="s">
        <v>56</v>
      </c>
      <c r="B70" s="24" t="s">
        <v>167</v>
      </c>
      <c r="C70" s="357"/>
      <c r="D70" s="358"/>
      <c r="E70" s="29"/>
      <c r="F70" s="193"/>
      <c r="G70" s="29"/>
    </row>
    <row r="71" spans="1:7" s="12" customFormat="1" ht="30.95" customHeight="1" thickBot="1" x14ac:dyDescent="0.3">
      <c r="A71" s="44" t="s">
        <v>48</v>
      </c>
      <c r="B71" s="24" t="s">
        <v>47</v>
      </c>
      <c r="C71" s="357"/>
      <c r="D71" s="358"/>
      <c r="E71" s="29"/>
      <c r="F71" s="193"/>
      <c r="G71" s="29"/>
    </row>
    <row r="72" spans="1:7" s="12" customFormat="1" ht="27.6" customHeight="1" thickBot="1" x14ac:dyDescent="0.3">
      <c r="A72" s="44" t="s">
        <v>49</v>
      </c>
      <c r="B72" s="24" t="s">
        <v>103</v>
      </c>
      <c r="C72" s="357"/>
      <c r="D72" s="358"/>
      <c r="E72" s="29"/>
      <c r="F72" s="193"/>
      <c r="G72" s="29"/>
    </row>
    <row r="73" spans="1:7" s="12" customFormat="1" ht="26.25" thickBot="1" x14ac:dyDescent="0.3">
      <c r="A73" s="44" t="s">
        <v>46</v>
      </c>
      <c r="B73" s="24" t="s">
        <v>81</v>
      </c>
      <c r="C73" s="357"/>
      <c r="D73" s="358"/>
      <c r="E73" s="29"/>
      <c r="F73" s="193"/>
      <c r="G73" s="29"/>
    </row>
    <row r="74" spans="1:7" ht="13.5" thickBot="1" x14ac:dyDescent="0.25">
      <c r="F74" s="250"/>
    </row>
    <row r="75" spans="1:7" s="15" customFormat="1" ht="32.25" thickBot="1" x14ac:dyDescent="0.3">
      <c r="A75" s="362" t="s">
        <v>168</v>
      </c>
      <c r="B75" s="363"/>
      <c r="C75" s="363"/>
      <c r="D75" s="364"/>
      <c r="E75" s="32"/>
      <c r="F75" s="208" t="s">
        <v>333</v>
      </c>
      <c r="G75" s="32"/>
    </row>
    <row r="76" spans="1:7" s="3" customFormat="1" ht="15" customHeight="1" thickBot="1" x14ac:dyDescent="0.3">
      <c r="A76" s="371" t="s">
        <v>169</v>
      </c>
      <c r="B76" s="372"/>
      <c r="C76" s="372"/>
      <c r="D76" s="373"/>
      <c r="E76" s="33"/>
      <c r="F76" s="246" t="s">
        <v>17</v>
      </c>
      <c r="G76" s="33"/>
    </row>
    <row r="77" spans="1:7" s="12" customFormat="1" x14ac:dyDescent="0.25">
      <c r="A77" s="374" t="s">
        <v>82</v>
      </c>
      <c r="B77" s="375"/>
      <c r="C77" s="375"/>
      <c r="D77" s="376"/>
      <c r="E77" s="29"/>
      <c r="F77" s="251">
        <f>1010*('PPI Adj'!D6)</f>
        <v>1178.67</v>
      </c>
      <c r="G77" s="29"/>
    </row>
    <row r="78" spans="1:7" s="12" customFormat="1" x14ac:dyDescent="0.25">
      <c r="A78" s="374" t="s">
        <v>83</v>
      </c>
      <c r="B78" s="375"/>
      <c r="C78" s="375"/>
      <c r="D78" s="376"/>
      <c r="E78" s="29"/>
      <c r="F78" s="251">
        <f>-1010*('PPI Adj'!D6)</f>
        <v>-1178.67</v>
      </c>
      <c r="G78" s="29"/>
    </row>
    <row r="79" spans="1:7" s="12" customFormat="1" x14ac:dyDescent="0.25">
      <c r="A79" s="377" t="s">
        <v>34</v>
      </c>
      <c r="B79" s="378"/>
      <c r="C79" s="378"/>
      <c r="D79" s="379"/>
      <c r="E79" s="28"/>
      <c r="F79" s="252">
        <f>532*('PPI Adj'!D6)</f>
        <v>620.84400000000005</v>
      </c>
      <c r="G79" s="28"/>
    </row>
    <row r="80" spans="1:7" s="12" customFormat="1" x14ac:dyDescent="0.25">
      <c r="A80" s="377" t="s">
        <v>35</v>
      </c>
      <c r="B80" s="378"/>
      <c r="C80" s="378"/>
      <c r="D80" s="379"/>
      <c r="E80" s="29"/>
      <c r="F80" s="252">
        <f>261*('PPI Adj'!D6)</f>
        <v>304.58699999999999</v>
      </c>
      <c r="G80" s="29"/>
    </row>
    <row r="81" spans="1:7" s="12" customFormat="1" x14ac:dyDescent="0.25">
      <c r="A81" s="377" t="s">
        <v>36</v>
      </c>
      <c r="B81" s="378"/>
      <c r="C81" s="378"/>
      <c r="D81" s="379"/>
      <c r="E81" s="28"/>
      <c r="F81" s="252">
        <f>290*('PPI Adj'!D6)</f>
        <v>338.43</v>
      </c>
      <c r="G81" s="28"/>
    </row>
    <row r="82" spans="1:7" s="12" customFormat="1" x14ac:dyDescent="0.25">
      <c r="A82" s="377" t="s">
        <v>60</v>
      </c>
      <c r="B82" s="378"/>
      <c r="C82" s="378"/>
      <c r="D82" s="379"/>
      <c r="E82" s="28"/>
      <c r="F82" s="252">
        <f>544*('PPI Adj'!D6)</f>
        <v>634.84800000000007</v>
      </c>
      <c r="G82" s="28"/>
    </row>
    <row r="83" spans="1:7" s="12" customFormat="1" x14ac:dyDescent="0.25">
      <c r="A83" s="377" t="s">
        <v>61</v>
      </c>
      <c r="B83" s="378"/>
      <c r="C83" s="378"/>
      <c r="D83" s="379"/>
      <c r="E83" s="28"/>
      <c r="F83" s="252">
        <f>1053*('PPI Adj'!D6)</f>
        <v>1228.8510000000001</v>
      </c>
      <c r="G83" s="28"/>
    </row>
    <row r="84" spans="1:7" s="12" customFormat="1" x14ac:dyDescent="0.25">
      <c r="A84" s="377" t="s">
        <v>86</v>
      </c>
      <c r="B84" s="378"/>
      <c r="C84" s="378"/>
      <c r="D84" s="379"/>
      <c r="E84" s="28"/>
      <c r="F84" s="252">
        <f>856*('PPI Adj'!D6)</f>
        <v>998.952</v>
      </c>
      <c r="G84" s="28"/>
    </row>
    <row r="85" spans="1:7" x14ac:dyDescent="0.2">
      <c r="A85" s="377" t="s">
        <v>85</v>
      </c>
      <c r="B85" s="378"/>
      <c r="C85" s="378"/>
      <c r="D85" s="379"/>
      <c r="E85" s="28"/>
      <c r="F85" s="252" t="s">
        <v>181</v>
      </c>
      <c r="G85" s="28"/>
    </row>
    <row r="86" spans="1:7" x14ac:dyDescent="0.2">
      <c r="A86" s="377" t="s">
        <v>13</v>
      </c>
      <c r="B86" s="378"/>
      <c r="C86" s="378"/>
      <c r="D86" s="379"/>
      <c r="E86" s="28"/>
      <c r="F86" s="252">
        <f>10801*('PPI Adj'!D6)</f>
        <v>12604.767</v>
      </c>
      <c r="G86" s="28"/>
    </row>
    <row r="87" spans="1:7" x14ac:dyDescent="0.2">
      <c r="A87" s="377" t="s">
        <v>38</v>
      </c>
      <c r="B87" s="378"/>
      <c r="C87" s="378"/>
      <c r="D87" s="379"/>
      <c r="E87" s="29"/>
      <c r="F87" s="252">
        <f>662*('PPI Adj'!D6)</f>
        <v>772.55399999999997</v>
      </c>
      <c r="G87" s="29"/>
    </row>
    <row r="88" spans="1:7" x14ac:dyDescent="0.2">
      <c r="A88" s="377" t="s">
        <v>39</v>
      </c>
      <c r="B88" s="378"/>
      <c r="C88" s="378"/>
      <c r="D88" s="379"/>
      <c r="E88" s="28"/>
      <c r="F88" s="252">
        <f>882*('PPI Adj'!D6)</f>
        <v>1029.2940000000001</v>
      </c>
      <c r="G88" s="28"/>
    </row>
    <row r="89" spans="1:7" x14ac:dyDescent="0.2">
      <c r="A89" s="377" t="s">
        <v>90</v>
      </c>
      <c r="B89" s="378"/>
      <c r="C89" s="378"/>
      <c r="D89" s="379"/>
      <c r="E89" s="29"/>
      <c r="F89" s="252">
        <f>394.87*('PPI Adj'!D6)</f>
        <v>460.81328999999999</v>
      </c>
      <c r="G89" s="29"/>
    </row>
    <row r="90" spans="1:7" ht="14.1" customHeight="1" x14ac:dyDescent="0.2">
      <c r="A90" s="377" t="s">
        <v>88</v>
      </c>
      <c r="B90" s="378"/>
      <c r="C90" s="378"/>
      <c r="D90" s="379"/>
      <c r="E90" s="28"/>
      <c r="F90" s="252" t="s">
        <v>181</v>
      </c>
      <c r="G90" s="28"/>
    </row>
    <row r="91" spans="1:7" x14ac:dyDescent="0.2">
      <c r="A91" s="377" t="s">
        <v>40</v>
      </c>
      <c r="B91" s="378"/>
      <c r="C91" s="378"/>
      <c r="D91" s="379"/>
      <c r="E91" s="28"/>
      <c r="F91" s="252">
        <f>204*('PPI Adj'!D6)</f>
        <v>238.06800000000001</v>
      </c>
      <c r="G91" s="28"/>
    </row>
    <row r="92" spans="1:7" x14ac:dyDescent="0.2">
      <c r="A92" s="377" t="s">
        <v>14</v>
      </c>
      <c r="B92" s="378"/>
      <c r="C92" s="378"/>
      <c r="D92" s="379"/>
      <c r="E92" s="28"/>
      <c r="F92" s="252">
        <f>6200*('PPI Adj'!D6)</f>
        <v>7235.4000000000005</v>
      </c>
      <c r="G92" s="28"/>
    </row>
    <row r="93" spans="1:7" x14ac:dyDescent="0.2">
      <c r="A93" s="377" t="s">
        <v>91</v>
      </c>
      <c r="B93" s="378"/>
      <c r="C93" s="378"/>
      <c r="D93" s="379"/>
      <c r="E93" s="28"/>
      <c r="F93" s="252">
        <f>1971*('PPI Adj'!D6)</f>
        <v>2300.1570000000002</v>
      </c>
      <c r="G93" s="28"/>
    </row>
    <row r="94" spans="1:7" x14ac:dyDescent="0.2">
      <c r="A94" s="383" t="s">
        <v>272</v>
      </c>
      <c r="B94" s="384"/>
      <c r="C94" s="384"/>
      <c r="D94" s="385"/>
      <c r="E94" s="28"/>
      <c r="F94" s="253">
        <f>-1036*('PPI Adj'!D6)</f>
        <v>-1209.0119999999999</v>
      </c>
      <c r="G94" s="28"/>
    </row>
    <row r="95" spans="1:7" ht="14.1" customHeight="1" thickBot="1" x14ac:dyDescent="0.25">
      <c r="A95" s="380" t="s">
        <v>92</v>
      </c>
      <c r="B95" s="381"/>
      <c r="C95" s="381"/>
      <c r="D95" s="382"/>
      <c r="E95" s="29"/>
      <c r="F95" s="254">
        <f>-2023*('PPI Adj'!D6)</f>
        <v>-2360.8409999999999</v>
      </c>
      <c r="G95" s="29"/>
    </row>
    <row r="96" spans="1:7" ht="13.5" thickBot="1" x14ac:dyDescent="0.25">
      <c r="F96" s="250"/>
    </row>
    <row r="97" spans="1:7" s="15" customFormat="1" ht="32.25" thickBot="1" x14ac:dyDescent="0.3">
      <c r="A97" s="362" t="s">
        <v>166</v>
      </c>
      <c r="B97" s="363"/>
      <c r="C97" s="363"/>
      <c r="D97" s="364"/>
      <c r="E97" s="32"/>
      <c r="F97" s="208" t="s">
        <v>333</v>
      </c>
      <c r="G97" s="32"/>
    </row>
    <row r="98" spans="1:7" s="3" customFormat="1" ht="15" customHeight="1" thickBot="1" x14ac:dyDescent="0.3">
      <c r="A98" s="46" t="s">
        <v>33</v>
      </c>
      <c r="B98" s="18" t="s">
        <v>7</v>
      </c>
      <c r="C98" s="386" t="s">
        <v>165</v>
      </c>
      <c r="D98" s="387"/>
      <c r="E98" s="33"/>
      <c r="F98" s="246" t="s">
        <v>17</v>
      </c>
      <c r="G98" s="33"/>
    </row>
    <row r="99" spans="1:7" s="12" customFormat="1" ht="28.5" customHeight="1" thickBot="1" x14ac:dyDescent="0.3">
      <c r="A99" s="47" t="s">
        <v>82</v>
      </c>
      <c r="B99" s="14" t="s">
        <v>130</v>
      </c>
      <c r="C99" s="388"/>
      <c r="D99" s="389"/>
      <c r="E99" s="29"/>
      <c r="F99" s="193"/>
      <c r="G99" s="29"/>
    </row>
    <row r="100" spans="1:7" s="12" customFormat="1" ht="41.1" customHeight="1" thickBot="1" x14ac:dyDescent="0.3">
      <c r="A100" s="47" t="s">
        <v>83</v>
      </c>
      <c r="B100" s="17" t="s">
        <v>146</v>
      </c>
      <c r="C100" s="388"/>
      <c r="D100" s="389"/>
      <c r="E100" s="29"/>
      <c r="F100" s="193"/>
      <c r="G100" s="29"/>
    </row>
    <row r="101" spans="1:7" s="12" customFormat="1" ht="28.5" customHeight="1" thickBot="1" x14ac:dyDescent="0.3">
      <c r="A101" s="44" t="s">
        <v>34</v>
      </c>
      <c r="B101" s="24" t="s">
        <v>107</v>
      </c>
      <c r="C101" s="369" t="s">
        <v>30</v>
      </c>
      <c r="D101" s="370"/>
      <c r="E101" s="28"/>
      <c r="F101" s="193" t="s">
        <v>352</v>
      </c>
      <c r="G101" s="28"/>
    </row>
    <row r="102" spans="1:7" s="12" customFormat="1" ht="53.45" customHeight="1" thickBot="1" x14ac:dyDescent="0.3">
      <c r="A102" s="44" t="s">
        <v>35</v>
      </c>
      <c r="B102" s="24" t="s">
        <v>97</v>
      </c>
      <c r="C102" s="357"/>
      <c r="D102" s="358"/>
      <c r="E102" s="29"/>
      <c r="F102" s="192"/>
      <c r="G102" s="29"/>
    </row>
    <row r="103" spans="1:7" s="12" customFormat="1" ht="30.6" customHeight="1" thickBot="1" x14ac:dyDescent="0.3">
      <c r="A103" s="44" t="s">
        <v>36</v>
      </c>
      <c r="B103" s="24" t="s">
        <v>84</v>
      </c>
      <c r="C103" s="369" t="s">
        <v>99</v>
      </c>
      <c r="D103" s="370"/>
      <c r="E103" s="28"/>
      <c r="F103" s="193" t="s">
        <v>353</v>
      </c>
      <c r="G103" s="28"/>
    </row>
    <row r="104" spans="1:7" s="12" customFormat="1" ht="12.75" customHeight="1" x14ac:dyDescent="0.25">
      <c r="A104" s="343" t="s">
        <v>60</v>
      </c>
      <c r="B104" s="345" t="s">
        <v>127</v>
      </c>
      <c r="C104" s="347" t="s">
        <v>176</v>
      </c>
      <c r="D104" s="348"/>
      <c r="E104" s="28"/>
      <c r="F104" s="192" t="s">
        <v>340</v>
      </c>
      <c r="G104" s="28"/>
    </row>
    <row r="105" spans="1:7" s="12" customFormat="1" ht="12.75" customHeight="1" x14ac:dyDescent="0.25">
      <c r="A105" s="351"/>
      <c r="B105" s="352"/>
      <c r="C105" s="353" t="s">
        <v>177</v>
      </c>
      <c r="D105" s="354"/>
      <c r="E105" s="28"/>
      <c r="F105" s="180" t="s">
        <v>354</v>
      </c>
      <c r="G105" s="28"/>
    </row>
    <row r="106" spans="1:7" s="12" customFormat="1" ht="12.75" customHeight="1" x14ac:dyDescent="0.25">
      <c r="A106" s="351"/>
      <c r="B106" s="352"/>
      <c r="C106" s="353" t="s">
        <v>114</v>
      </c>
      <c r="D106" s="354"/>
      <c r="E106" s="28"/>
      <c r="F106" s="180" t="s">
        <v>355</v>
      </c>
      <c r="G106" s="28"/>
    </row>
    <row r="107" spans="1:7" s="12" customFormat="1" ht="13.5" thickBot="1" x14ac:dyDescent="0.3">
      <c r="A107" s="344"/>
      <c r="B107" s="346"/>
      <c r="C107" s="341" t="s">
        <v>115</v>
      </c>
      <c r="D107" s="342"/>
      <c r="E107" s="28"/>
      <c r="F107" s="184" t="s">
        <v>356</v>
      </c>
      <c r="G107" s="28"/>
    </row>
    <row r="108" spans="1:7" s="12" customFormat="1" ht="12.75" customHeight="1" x14ac:dyDescent="0.25">
      <c r="A108" s="343" t="s">
        <v>61</v>
      </c>
      <c r="B108" s="345" t="s">
        <v>128</v>
      </c>
      <c r="C108" s="347" t="s">
        <v>174</v>
      </c>
      <c r="D108" s="348"/>
      <c r="E108" s="28"/>
      <c r="F108" s="192" t="s">
        <v>340</v>
      </c>
      <c r="G108" s="28"/>
    </row>
    <row r="109" spans="1:7" s="12" customFormat="1" ht="12.75" customHeight="1" x14ac:dyDescent="0.25">
      <c r="A109" s="351"/>
      <c r="B109" s="352"/>
      <c r="C109" s="353" t="s">
        <v>175</v>
      </c>
      <c r="D109" s="354"/>
      <c r="E109" s="28"/>
      <c r="F109" s="209" t="s">
        <v>357</v>
      </c>
      <c r="G109" s="28"/>
    </row>
    <row r="110" spans="1:7" s="12" customFormat="1" ht="12.75" customHeight="1" x14ac:dyDescent="0.25">
      <c r="A110" s="351"/>
      <c r="B110" s="352"/>
      <c r="C110" s="353" t="s">
        <v>176</v>
      </c>
      <c r="D110" s="354"/>
      <c r="E110" s="28"/>
      <c r="F110" s="209" t="s">
        <v>340</v>
      </c>
      <c r="G110" s="28"/>
    </row>
    <row r="111" spans="1:7" s="12" customFormat="1" ht="12.75" customHeight="1" x14ac:dyDescent="0.25">
      <c r="A111" s="351"/>
      <c r="B111" s="352"/>
      <c r="C111" s="353" t="s">
        <v>177</v>
      </c>
      <c r="D111" s="354"/>
      <c r="E111" s="28"/>
      <c r="F111" s="180" t="s">
        <v>354</v>
      </c>
      <c r="G111" s="28"/>
    </row>
    <row r="112" spans="1:7" s="12" customFormat="1" ht="12.75" customHeight="1" x14ac:dyDescent="0.25">
      <c r="A112" s="351"/>
      <c r="B112" s="352"/>
      <c r="C112" s="353" t="s">
        <v>112</v>
      </c>
      <c r="D112" s="354"/>
      <c r="E112" s="28"/>
      <c r="F112" s="180" t="s">
        <v>358</v>
      </c>
      <c r="G112" s="28"/>
    </row>
    <row r="113" spans="1:7" s="12" customFormat="1" x14ac:dyDescent="0.25">
      <c r="A113" s="351"/>
      <c r="B113" s="352"/>
      <c r="C113" s="353" t="s">
        <v>113</v>
      </c>
      <c r="D113" s="354"/>
      <c r="E113" s="28"/>
      <c r="F113" s="209" t="s">
        <v>359</v>
      </c>
      <c r="G113" s="28"/>
    </row>
    <row r="114" spans="1:7" s="12" customFormat="1" ht="12.75" customHeight="1" x14ac:dyDescent="0.25">
      <c r="A114" s="351"/>
      <c r="B114" s="352"/>
      <c r="C114" s="353" t="s">
        <v>114</v>
      </c>
      <c r="D114" s="354"/>
      <c r="E114" s="28"/>
      <c r="F114" s="209" t="s">
        <v>358</v>
      </c>
      <c r="G114" s="28"/>
    </row>
    <row r="115" spans="1:7" s="12" customFormat="1" ht="13.5" thickBot="1" x14ac:dyDescent="0.3">
      <c r="A115" s="344"/>
      <c r="B115" s="346"/>
      <c r="C115" s="341" t="s">
        <v>115</v>
      </c>
      <c r="D115" s="342"/>
      <c r="E115" s="28"/>
      <c r="F115" s="184" t="s">
        <v>359</v>
      </c>
      <c r="G115" s="28"/>
    </row>
    <row r="116" spans="1:7" s="12" customFormat="1" ht="144" customHeight="1" thickBot="1" x14ac:dyDescent="0.3">
      <c r="A116" s="48" t="s">
        <v>86</v>
      </c>
      <c r="B116" s="16" t="s">
        <v>143</v>
      </c>
      <c r="C116" s="369" t="s">
        <v>104</v>
      </c>
      <c r="D116" s="370"/>
      <c r="E116" s="28"/>
      <c r="F116" s="192" t="s">
        <v>360</v>
      </c>
      <c r="G116" s="28"/>
    </row>
    <row r="117" spans="1:7" ht="170.1" customHeight="1" thickBot="1" x14ac:dyDescent="0.25">
      <c r="A117" s="44" t="s">
        <v>85</v>
      </c>
      <c r="B117" s="13" t="s">
        <v>170</v>
      </c>
      <c r="C117" s="369" t="s">
        <v>104</v>
      </c>
      <c r="D117" s="370"/>
      <c r="E117" s="28"/>
      <c r="F117" s="193" t="s">
        <v>181</v>
      </c>
      <c r="G117" s="28"/>
    </row>
    <row r="118" spans="1:7" x14ac:dyDescent="0.2">
      <c r="A118" s="343" t="s">
        <v>13</v>
      </c>
      <c r="B118" s="345" t="s">
        <v>98</v>
      </c>
      <c r="C118" s="347" t="s">
        <v>30</v>
      </c>
      <c r="D118" s="348"/>
      <c r="E118" s="28"/>
      <c r="F118" s="192" t="s">
        <v>361</v>
      </c>
      <c r="G118" s="28"/>
    </row>
    <row r="119" spans="1:7" ht="27.6" customHeight="1" thickBot="1" x14ac:dyDescent="0.25">
      <c r="A119" s="344"/>
      <c r="B119" s="346"/>
      <c r="C119" s="341" t="s">
        <v>109</v>
      </c>
      <c r="D119" s="342"/>
      <c r="E119" s="28"/>
      <c r="F119" s="184" t="s">
        <v>362</v>
      </c>
      <c r="G119" s="28"/>
    </row>
    <row r="120" spans="1:7" ht="42.6" customHeight="1" thickBot="1" x14ac:dyDescent="0.25">
      <c r="A120" s="44" t="s">
        <v>38</v>
      </c>
      <c r="B120" s="24" t="s">
        <v>87</v>
      </c>
      <c r="C120" s="357"/>
      <c r="D120" s="358"/>
      <c r="E120" s="29"/>
      <c r="F120" s="193"/>
      <c r="G120" s="29"/>
    </row>
    <row r="121" spans="1:7" ht="28.5" customHeight="1" thickBot="1" x14ac:dyDescent="0.25">
      <c r="A121" s="44" t="s">
        <v>39</v>
      </c>
      <c r="B121" s="24" t="s">
        <v>106</v>
      </c>
      <c r="C121" s="369" t="s">
        <v>105</v>
      </c>
      <c r="D121" s="370"/>
      <c r="E121" s="28"/>
      <c r="F121" s="193" t="s">
        <v>184</v>
      </c>
      <c r="G121" s="28"/>
    </row>
    <row r="122" spans="1:7" ht="41.1" customHeight="1" thickBot="1" x14ac:dyDescent="0.25">
      <c r="A122" s="44" t="s">
        <v>90</v>
      </c>
      <c r="B122" s="24" t="s">
        <v>129</v>
      </c>
      <c r="C122" s="357"/>
      <c r="D122" s="358"/>
      <c r="E122" s="29"/>
      <c r="F122" s="193"/>
      <c r="G122" s="29"/>
    </row>
    <row r="123" spans="1:7" x14ac:dyDescent="0.2">
      <c r="A123" s="343" t="s">
        <v>88</v>
      </c>
      <c r="B123" s="345" t="s">
        <v>148</v>
      </c>
      <c r="C123" s="347" t="s">
        <v>100</v>
      </c>
      <c r="D123" s="348"/>
      <c r="E123" s="28"/>
      <c r="F123" s="192" t="s">
        <v>181</v>
      </c>
      <c r="G123" s="28"/>
    </row>
    <row r="124" spans="1:7" ht="102.6" customHeight="1" thickBot="1" x14ac:dyDescent="0.25">
      <c r="A124" s="344"/>
      <c r="B124" s="346"/>
      <c r="C124" s="341" t="s">
        <v>110</v>
      </c>
      <c r="D124" s="342"/>
      <c r="E124" s="28"/>
      <c r="F124" s="255"/>
      <c r="G124" s="28"/>
    </row>
    <row r="125" spans="1:7" ht="26.25" thickBot="1" x14ac:dyDescent="0.25">
      <c r="A125" s="44" t="s">
        <v>40</v>
      </c>
      <c r="B125" s="24" t="s">
        <v>137</v>
      </c>
      <c r="C125" s="369" t="s">
        <v>100</v>
      </c>
      <c r="D125" s="370"/>
      <c r="E125" s="28"/>
      <c r="F125" s="184" t="s">
        <v>363</v>
      </c>
      <c r="G125" s="28"/>
    </row>
    <row r="126" spans="1:7" ht="51.95" customHeight="1" thickBot="1" x14ac:dyDescent="0.25">
      <c r="A126" s="44" t="s">
        <v>14</v>
      </c>
      <c r="B126" s="24" t="s">
        <v>138</v>
      </c>
      <c r="C126" s="369" t="s">
        <v>139</v>
      </c>
      <c r="D126" s="370"/>
      <c r="E126" s="28"/>
      <c r="F126" s="193">
        <v>2</v>
      </c>
      <c r="G126" s="28"/>
    </row>
    <row r="127" spans="1:7" ht="64.5" customHeight="1" thickBot="1" x14ac:dyDescent="0.25">
      <c r="A127" s="44" t="s">
        <v>91</v>
      </c>
      <c r="B127" s="24" t="s">
        <v>144</v>
      </c>
      <c r="C127" s="369" t="s">
        <v>100</v>
      </c>
      <c r="D127" s="370"/>
      <c r="E127" s="28"/>
      <c r="F127" s="193" t="s">
        <v>364</v>
      </c>
      <c r="G127" s="28"/>
    </row>
    <row r="128" spans="1:7" ht="64.5" customHeight="1" thickBot="1" x14ac:dyDescent="0.25">
      <c r="A128" s="44" t="s">
        <v>92</v>
      </c>
      <c r="B128" s="24" t="s">
        <v>145</v>
      </c>
      <c r="C128" s="357"/>
      <c r="D128" s="358"/>
      <c r="E128" s="29"/>
      <c r="F128" s="193"/>
      <c r="G128" s="29"/>
    </row>
  </sheetData>
  <sheetProtection algorithmName="SHA-512" hashValue="vPFZc/4NirRB9mqI4qAKZGsY8GjbJ5lKgnIIMc1aWUs6sVLDSsUEmmxFwXXG2v520AVWLrBFyeA5725Z8VrZ3g==" saltValue="q25G71oDRzc/PbMb1r9mLg==" spinCount="100000" sheet="1" objects="1" scenarios="1"/>
  <dataConsolidate/>
  <mergeCells count="144">
    <mergeCell ref="C128:D128"/>
    <mergeCell ref="A77:D77"/>
    <mergeCell ref="C99:D99"/>
    <mergeCell ref="C120:D120"/>
    <mergeCell ref="C121:D121"/>
    <mergeCell ref="C122:D122"/>
    <mergeCell ref="A123:A124"/>
    <mergeCell ref="B123:B124"/>
    <mergeCell ref="C123:D123"/>
    <mergeCell ref="C124:D124"/>
    <mergeCell ref="C115:D115"/>
    <mergeCell ref="C116:D116"/>
    <mergeCell ref="C117:D117"/>
    <mergeCell ref="C125:D125"/>
    <mergeCell ref="C126:D126"/>
    <mergeCell ref="C127:D127"/>
    <mergeCell ref="A118:A119"/>
    <mergeCell ref="B118:B119"/>
    <mergeCell ref="C118:D118"/>
    <mergeCell ref="C119:D119"/>
    <mergeCell ref="C107:D107"/>
    <mergeCell ref="A108:A115"/>
    <mergeCell ref="B108:B115"/>
    <mergeCell ref="C108:D108"/>
    <mergeCell ref="C110:D110"/>
    <mergeCell ref="C111:D111"/>
    <mergeCell ref="C112:D112"/>
    <mergeCell ref="C113:D113"/>
    <mergeCell ref="C114:D114"/>
    <mergeCell ref="C98:D98"/>
    <mergeCell ref="C100:D100"/>
    <mergeCell ref="C101:D101"/>
    <mergeCell ref="C102:D102"/>
    <mergeCell ref="C103:D103"/>
    <mergeCell ref="C109:D109"/>
    <mergeCell ref="A91:D91"/>
    <mergeCell ref="A92:D92"/>
    <mergeCell ref="A104:A107"/>
    <mergeCell ref="B104:B107"/>
    <mergeCell ref="C104:D104"/>
    <mergeCell ref="C105:D105"/>
    <mergeCell ref="C106:D106"/>
    <mergeCell ref="A93:D93"/>
    <mergeCell ref="A95:D95"/>
    <mergeCell ref="A97:D97"/>
    <mergeCell ref="A94:D94"/>
    <mergeCell ref="A82:D82"/>
    <mergeCell ref="A83:D83"/>
    <mergeCell ref="A84:D84"/>
    <mergeCell ref="A85:D85"/>
    <mergeCell ref="A86:D86"/>
    <mergeCell ref="A87:D87"/>
    <mergeCell ref="A88:D88"/>
    <mergeCell ref="A89:D89"/>
    <mergeCell ref="A90:D90"/>
    <mergeCell ref="A78:D78"/>
    <mergeCell ref="A79:D79"/>
    <mergeCell ref="A80:D80"/>
    <mergeCell ref="C70:D70"/>
    <mergeCell ref="C71:D71"/>
    <mergeCell ref="C72:D72"/>
    <mergeCell ref="C73:D73"/>
    <mergeCell ref="A75:D75"/>
    <mergeCell ref="A81:D81"/>
    <mergeCell ref="C62:D62"/>
    <mergeCell ref="C63:D63"/>
    <mergeCell ref="C64:D64"/>
    <mergeCell ref="C65:D65"/>
    <mergeCell ref="C66:D66"/>
    <mergeCell ref="C67:D67"/>
    <mergeCell ref="C68:D68"/>
    <mergeCell ref="C69:D69"/>
    <mergeCell ref="A76:D76"/>
    <mergeCell ref="A55:A57"/>
    <mergeCell ref="B55:B57"/>
    <mergeCell ref="C55:D55"/>
    <mergeCell ref="C56:D56"/>
    <mergeCell ref="C57:D57"/>
    <mergeCell ref="C58:D58"/>
    <mergeCell ref="C59:D59"/>
    <mergeCell ref="C60:D60"/>
    <mergeCell ref="C61:D61"/>
    <mergeCell ref="A49:A51"/>
    <mergeCell ref="B49:B51"/>
    <mergeCell ref="C49:D49"/>
    <mergeCell ref="C50:D50"/>
    <mergeCell ref="C51:D51"/>
    <mergeCell ref="C52:D52"/>
    <mergeCell ref="A53:A54"/>
    <mergeCell ref="B53:B54"/>
    <mergeCell ref="C53:D53"/>
    <mergeCell ref="C54:D54"/>
    <mergeCell ref="C40:D40"/>
    <mergeCell ref="A41:A48"/>
    <mergeCell ref="B41:B48"/>
    <mergeCell ref="C41:D41"/>
    <mergeCell ref="C42:D42"/>
    <mergeCell ref="C43:D43"/>
    <mergeCell ref="C44:D44"/>
    <mergeCell ref="C45:D45"/>
    <mergeCell ref="C46:D46"/>
    <mergeCell ref="C47:D47"/>
    <mergeCell ref="C48:D48"/>
    <mergeCell ref="C30:D30"/>
    <mergeCell ref="B23:D23"/>
    <mergeCell ref="A25:D25"/>
    <mergeCell ref="A36:A37"/>
    <mergeCell ref="B36:B37"/>
    <mergeCell ref="C36:D36"/>
    <mergeCell ref="C37:D37"/>
    <mergeCell ref="C35:D35"/>
    <mergeCell ref="C26:D26"/>
    <mergeCell ref="A38:A39"/>
    <mergeCell ref="B38:B39"/>
    <mergeCell ref="C38:D38"/>
    <mergeCell ref="C39:D39"/>
    <mergeCell ref="A31:A35"/>
    <mergeCell ref="B31:B35"/>
    <mergeCell ref="C31:D31"/>
    <mergeCell ref="C32:D32"/>
    <mergeCell ref="C33:D33"/>
    <mergeCell ref="C34:D34"/>
    <mergeCell ref="B17:D17"/>
    <mergeCell ref="B21:D21"/>
    <mergeCell ref="B22:D22"/>
    <mergeCell ref="A19:D19"/>
    <mergeCell ref="C27:D27"/>
    <mergeCell ref="A28:A29"/>
    <mergeCell ref="B28:B29"/>
    <mergeCell ref="C28:D28"/>
    <mergeCell ref="C29:D29"/>
    <mergeCell ref="B14:D14"/>
    <mergeCell ref="B15:D15"/>
    <mergeCell ref="B16:D16"/>
    <mergeCell ref="B8:D8"/>
    <mergeCell ref="B9:D9"/>
    <mergeCell ref="B10:D10"/>
    <mergeCell ref="B11:D11"/>
    <mergeCell ref="A3:D3"/>
    <mergeCell ref="A4:D4"/>
    <mergeCell ref="A5:F5"/>
    <mergeCell ref="A6:D6"/>
    <mergeCell ref="B12:D12"/>
    <mergeCell ref="B13:D13"/>
  </mergeCells>
  <conditionalFormatting sqref="C52 C60">
    <cfRule type="expression" dxfId="158" priority="43">
      <formula>#REF!="NO"</formula>
    </cfRule>
  </conditionalFormatting>
  <conditionalFormatting sqref="C27:G73">
    <cfRule type="expression" dxfId="157" priority="6">
      <formula>#REF!="NO"</formula>
    </cfRule>
  </conditionalFormatting>
  <conditionalFormatting sqref="C99:G128">
    <cfRule type="expression" dxfId="156" priority="1">
      <formula>#REF!="NO"</formula>
    </cfRule>
  </conditionalFormatting>
  <conditionalFormatting sqref="E77:G95">
    <cfRule type="expression" dxfId="155" priority="2">
      <formula>#REF!="NO"</formula>
    </cfRule>
  </conditionalFormatting>
  <conditionalFormatting sqref="F8:F17">
    <cfRule type="expression" dxfId="154" priority="25">
      <formula>#REF!="NO"</formula>
    </cfRule>
  </conditionalFormatting>
  <conditionalFormatting sqref="F21:F23">
    <cfRule type="expression" dxfId="153" priority="39">
      <formula>#REF!="NO"</formula>
    </cfRule>
  </conditionalFormatting>
  <dataValidations count="3">
    <dataValidation type="decimal" allowBlank="1" showInputMessage="1" showErrorMessage="1" error="The Additional Options NYS Discount entered must be greater than 0%, or less than or equal to 100%." sqref="F23" xr:uid="{00000000-0002-0000-0100-000002000000}">
      <formula1>0.01</formula1>
      <formula2>100</formula2>
    </dataValidation>
    <dataValidation type="decimal" allowBlank="1" showInputMessage="1" showErrorMessage="1" error="Invalid Entry - Bidder must enter a value that is greater than $0" sqref="F21" xr:uid="{DDA97037-C0A7-41BA-995F-96E007FCDFC0}">
      <formula1>0</formula1>
      <formula2>9E+21</formula2>
    </dataValidation>
    <dataValidation type="decimal" operator="greaterThanOrEqual" allowBlank="1" showInputMessage="1" showErrorMessage="1" error="The Pickup Allowance cannot be a negative number." sqref="F16" xr:uid="{00000000-0002-0000-0100-000000000000}">
      <formula1>0</formula1>
    </dataValidation>
  </dataValidations>
  <pageMargins left="0.25" right="0.25" top="0.5" bottom="0.25" header="0.3" footer="0.3"/>
  <pageSetup scale="93" fitToHeight="0" orientation="landscape" r:id="rId1"/>
  <rowBreaks count="4" manualBreakCount="4">
    <brk id="23" max="16383" man="1"/>
    <brk id="52" max="16383" man="1"/>
    <brk id="95" max="16383" man="1"/>
    <brk id="12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84FA1-1506-4870-912D-F2515DF4DE5E}">
  <sheetPr codeName="Sheet3">
    <tabColor rgb="FF7030A0"/>
    <pageSetUpPr autoPageBreaks="0" fitToPage="1"/>
  </sheetPr>
  <dimension ref="A1:G130"/>
  <sheetViews>
    <sheetView showGridLines="0" zoomScaleNormal="100" zoomScaleSheetLayoutView="100" zoomScalePageLayoutView="5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0.7109375" style="5" customWidth="1"/>
    <col min="7" max="7" width="2.7109375" style="2" customWidth="1"/>
    <col min="8" max="16384" width="9.140625" style="2"/>
  </cols>
  <sheetData>
    <row r="1" spans="1:7" customFormat="1" ht="15" x14ac:dyDescent="0.25">
      <c r="A1" s="245" t="str">
        <f>'A (Item 2-G)'!$A$1</f>
        <v>GROUP 40524-23254, SCHOOL BUSES (Statewide)                                                             Attachment 1 - Specifications and Pricing (Revised October 15, 2026)</v>
      </c>
      <c r="B1" s="2"/>
      <c r="C1" s="2"/>
      <c r="D1" s="2"/>
      <c r="E1" s="2"/>
    </row>
    <row r="2" spans="1:7" customFormat="1" ht="15.75" thickBot="1" x14ac:dyDescent="0.3">
      <c r="A2" s="305" t="str">
        <f>'Attachment 1 - Summary'!B2</f>
        <v>PC69862 Matthews Buses, Inc.</v>
      </c>
      <c r="B2" s="20"/>
      <c r="C2" s="20"/>
      <c r="D2" s="20"/>
    </row>
    <row r="3" spans="1:7" ht="24" thickBot="1" x14ac:dyDescent="0.25">
      <c r="A3" s="390" t="s">
        <v>122</v>
      </c>
      <c r="B3" s="391"/>
      <c r="C3" s="391"/>
      <c r="D3" s="392"/>
      <c r="E3" s="8"/>
      <c r="F3" s="8"/>
      <c r="G3" s="8"/>
    </row>
    <row r="4" spans="1:7" ht="51" customHeight="1" thickBot="1" x14ac:dyDescent="0.25">
      <c r="A4" s="329" t="s">
        <v>124</v>
      </c>
      <c r="B4" s="330"/>
      <c r="C4" s="330"/>
      <c r="D4" s="331"/>
      <c r="E4" s="8"/>
      <c r="F4" s="8"/>
      <c r="G4" s="8"/>
    </row>
    <row r="5" spans="1:7" s="4" customFormat="1" ht="11.25" customHeight="1" thickBot="1" x14ac:dyDescent="0.3">
      <c r="A5" s="332"/>
      <c r="B5" s="333"/>
      <c r="C5" s="333"/>
      <c r="D5" s="334"/>
      <c r="E5" s="334"/>
    </row>
    <row r="6" spans="1:7" s="7" customFormat="1" ht="16.5" thickBot="1" x14ac:dyDescent="0.25">
      <c r="A6" s="335" t="s">
        <v>151</v>
      </c>
      <c r="B6" s="336"/>
      <c r="C6" s="336"/>
      <c r="D6" s="337"/>
      <c r="E6" s="30"/>
      <c r="F6" s="208" t="s">
        <v>370</v>
      </c>
      <c r="G6" s="30"/>
    </row>
    <row r="7" spans="1:7" s="4" customFormat="1" ht="15" customHeight="1" thickBot="1" x14ac:dyDescent="0.3">
      <c r="A7" s="35" t="s">
        <v>6</v>
      </c>
      <c r="B7" s="21" t="s">
        <v>165</v>
      </c>
      <c r="C7" s="26"/>
      <c r="D7" s="34"/>
      <c r="E7" s="31"/>
      <c r="F7" s="246" t="s">
        <v>17</v>
      </c>
      <c r="G7" s="31"/>
    </row>
    <row r="8" spans="1:7" ht="52.5" thickTop="1" thickBot="1" x14ac:dyDescent="0.25">
      <c r="A8" s="36" t="s">
        <v>9</v>
      </c>
      <c r="B8" s="323" t="s">
        <v>152</v>
      </c>
      <c r="C8" s="324"/>
      <c r="D8" s="325"/>
      <c r="E8" s="12"/>
      <c r="F8" s="178" t="s">
        <v>365</v>
      </c>
      <c r="G8" s="12"/>
    </row>
    <row r="9" spans="1:7" s="7" customFormat="1" ht="39.6" customHeight="1" thickTop="1" thickBot="1" x14ac:dyDescent="0.25">
      <c r="A9" s="36" t="s">
        <v>136</v>
      </c>
      <c r="B9" s="323" t="s">
        <v>191</v>
      </c>
      <c r="C9" s="324"/>
      <c r="D9" s="325"/>
      <c r="E9" s="12"/>
      <c r="F9" s="178" t="s">
        <v>366</v>
      </c>
      <c r="G9" s="12"/>
    </row>
    <row r="10" spans="1:7" ht="12.75" customHeight="1" thickTop="1" x14ac:dyDescent="0.2">
      <c r="A10" s="37" t="s">
        <v>0</v>
      </c>
      <c r="B10" s="314" t="s">
        <v>154</v>
      </c>
      <c r="C10" s="315"/>
      <c r="D10" s="316"/>
      <c r="E10" s="12"/>
      <c r="F10" s="180" t="s">
        <v>180</v>
      </c>
      <c r="G10" s="12"/>
    </row>
    <row r="11" spans="1:7" x14ac:dyDescent="0.2">
      <c r="A11" s="37" t="s">
        <v>1</v>
      </c>
      <c r="B11" s="314" t="s">
        <v>153</v>
      </c>
      <c r="C11" s="315"/>
      <c r="D11" s="316"/>
      <c r="E11" s="12"/>
      <c r="F11" s="180" t="s">
        <v>288</v>
      </c>
      <c r="G11" s="12"/>
    </row>
    <row r="12" spans="1:7" ht="15.6" customHeight="1" thickBot="1" x14ac:dyDescent="0.25">
      <c r="A12" s="38" t="s">
        <v>2</v>
      </c>
      <c r="B12" s="317" t="s">
        <v>155</v>
      </c>
      <c r="C12" s="318"/>
      <c r="D12" s="319"/>
      <c r="E12" s="12"/>
      <c r="F12" s="181" t="s">
        <v>367</v>
      </c>
      <c r="G12" s="12"/>
    </row>
    <row r="13" spans="1:7" ht="13.5" thickTop="1" x14ac:dyDescent="0.2">
      <c r="A13" s="37" t="s">
        <v>3</v>
      </c>
      <c r="B13" s="314" t="s">
        <v>157</v>
      </c>
      <c r="C13" s="315"/>
      <c r="D13" s="316"/>
      <c r="E13" s="12"/>
      <c r="F13" s="180" t="s">
        <v>337</v>
      </c>
      <c r="G13" s="12"/>
    </row>
    <row r="14" spans="1:7" x14ac:dyDescent="0.2">
      <c r="A14" s="37" t="s">
        <v>4</v>
      </c>
      <c r="B14" s="314" t="s">
        <v>156</v>
      </c>
      <c r="C14" s="315"/>
      <c r="D14" s="316"/>
      <c r="E14" s="12"/>
      <c r="F14" s="180" t="s">
        <v>338</v>
      </c>
      <c r="G14" s="12"/>
    </row>
    <row r="15" spans="1:7" ht="15.75" customHeight="1" thickBot="1" x14ac:dyDescent="0.25">
      <c r="A15" s="39" t="s">
        <v>5</v>
      </c>
      <c r="B15" s="317" t="s">
        <v>158</v>
      </c>
      <c r="C15" s="318"/>
      <c r="D15" s="319"/>
      <c r="E15" s="12"/>
      <c r="F15" s="182" t="s">
        <v>368</v>
      </c>
      <c r="G15" s="12"/>
    </row>
    <row r="16" spans="1:7" ht="29.25" customHeight="1" thickTop="1" x14ac:dyDescent="0.2">
      <c r="A16" s="37" t="s">
        <v>101</v>
      </c>
      <c r="B16" s="320" t="s">
        <v>160</v>
      </c>
      <c r="C16" s="321"/>
      <c r="D16" s="322"/>
      <c r="E16" s="12"/>
      <c r="F16" s="183">
        <v>100</v>
      </c>
      <c r="G16" s="12"/>
    </row>
    <row r="17" spans="1:7" ht="30.75" customHeight="1" thickBot="1" x14ac:dyDescent="0.25">
      <c r="A17" s="39" t="s">
        <v>43</v>
      </c>
      <c r="B17" s="317" t="s">
        <v>159</v>
      </c>
      <c r="C17" s="318"/>
      <c r="D17" s="319"/>
      <c r="E17" s="12"/>
      <c r="F17" s="182" t="s">
        <v>369</v>
      </c>
      <c r="G17" s="12"/>
    </row>
    <row r="18" spans="1:7" s="9" customFormat="1" ht="14.25" thickTop="1" thickBot="1" x14ac:dyDescent="0.25">
      <c r="C18" s="10"/>
      <c r="D18" s="10"/>
      <c r="E18" s="10"/>
      <c r="F18" s="185"/>
      <c r="G18" s="10"/>
    </row>
    <row r="19" spans="1:7" s="11" customFormat="1" ht="16.5" thickBot="1" x14ac:dyDescent="0.25">
      <c r="A19" s="335" t="s">
        <v>150</v>
      </c>
      <c r="B19" s="336"/>
      <c r="C19" s="336"/>
      <c r="D19" s="337"/>
      <c r="E19" s="30"/>
      <c r="F19" s="208" t="s">
        <v>370</v>
      </c>
      <c r="G19" s="30"/>
    </row>
    <row r="20" spans="1:7" s="4" customFormat="1" ht="15" customHeight="1" thickBot="1" x14ac:dyDescent="0.3">
      <c r="A20" s="49" t="s">
        <v>6</v>
      </c>
      <c r="B20" s="25" t="s">
        <v>165</v>
      </c>
      <c r="C20" s="27"/>
      <c r="D20" s="42"/>
      <c r="E20" s="31"/>
      <c r="F20" s="246" t="s">
        <v>17</v>
      </c>
      <c r="G20" s="31"/>
    </row>
    <row r="21" spans="1:7" ht="56.25" customHeight="1" x14ac:dyDescent="0.2">
      <c r="A21" s="40" t="s">
        <v>42</v>
      </c>
      <c r="B21" s="338" t="s">
        <v>161</v>
      </c>
      <c r="C21" s="339"/>
      <c r="D21" s="340"/>
      <c r="E21" s="12"/>
      <c r="F21" s="247">
        <f>76912.31*('PPI Adj'!D6)</f>
        <v>89756.665770000007</v>
      </c>
      <c r="G21" s="12"/>
    </row>
    <row r="22" spans="1:7" ht="42.75" customHeight="1" x14ac:dyDescent="0.2">
      <c r="A22" s="37" t="s">
        <v>20</v>
      </c>
      <c r="B22" s="314" t="s">
        <v>162</v>
      </c>
      <c r="C22" s="315"/>
      <c r="D22" s="316"/>
      <c r="E22" s="12"/>
      <c r="F22" s="247">
        <f>1641*('PPI Adj'!D6)</f>
        <v>1915.047</v>
      </c>
      <c r="G22" s="12"/>
    </row>
    <row r="23" spans="1:7" ht="33" customHeight="1" thickBot="1" x14ac:dyDescent="0.25">
      <c r="A23" s="41" t="s">
        <v>41</v>
      </c>
      <c r="B23" s="359" t="s">
        <v>163</v>
      </c>
      <c r="C23" s="360"/>
      <c r="D23" s="361"/>
      <c r="E23" s="1"/>
      <c r="F23" s="188">
        <v>20</v>
      </c>
      <c r="G23" s="1"/>
    </row>
    <row r="24" spans="1:7" ht="13.5" thickBot="1" x14ac:dyDescent="0.25">
      <c r="A24" s="52"/>
      <c r="B24" s="1"/>
      <c r="C24" s="1"/>
      <c r="D24" s="1"/>
      <c r="E24" s="1"/>
      <c r="F24" s="249"/>
      <c r="G24" s="1"/>
    </row>
    <row r="25" spans="1:7" s="7" customFormat="1" ht="16.5" thickBot="1" x14ac:dyDescent="0.25">
      <c r="A25" s="362" t="s">
        <v>164</v>
      </c>
      <c r="B25" s="363"/>
      <c r="C25" s="363"/>
      <c r="D25" s="364"/>
      <c r="E25" s="32"/>
      <c r="F25" s="208" t="s">
        <v>370</v>
      </c>
      <c r="G25" s="32"/>
    </row>
    <row r="26" spans="1:7" s="3" customFormat="1" ht="15" customHeight="1" thickBot="1" x14ac:dyDescent="0.3">
      <c r="A26" s="49" t="s">
        <v>6</v>
      </c>
      <c r="B26" s="50" t="s">
        <v>7</v>
      </c>
      <c r="C26" s="365" t="s">
        <v>165</v>
      </c>
      <c r="D26" s="366"/>
      <c r="E26" s="33"/>
      <c r="F26" s="246" t="s">
        <v>17</v>
      </c>
      <c r="G26" s="33"/>
    </row>
    <row r="27" spans="1:7" s="12" customFormat="1" ht="39.6" customHeight="1" thickBot="1" x14ac:dyDescent="0.3">
      <c r="A27" s="43" t="s">
        <v>8</v>
      </c>
      <c r="B27" s="23" t="s">
        <v>131</v>
      </c>
      <c r="C27" s="341" t="s">
        <v>118</v>
      </c>
      <c r="D27" s="342"/>
      <c r="E27" s="28"/>
      <c r="F27" s="193">
        <v>11500</v>
      </c>
      <c r="G27" s="28"/>
    </row>
    <row r="28" spans="1:7" s="12" customFormat="1" x14ac:dyDescent="0.25">
      <c r="A28" s="343" t="s">
        <v>21</v>
      </c>
      <c r="B28" s="345" t="s">
        <v>125</v>
      </c>
      <c r="C28" s="347" t="s">
        <v>67</v>
      </c>
      <c r="D28" s="348"/>
      <c r="E28" s="28"/>
      <c r="F28" s="192">
        <v>4</v>
      </c>
      <c r="G28" s="28"/>
    </row>
    <row r="29" spans="1:7" s="12" customFormat="1" ht="14.45" customHeight="1" thickBot="1" x14ac:dyDescent="0.3">
      <c r="A29" s="344"/>
      <c r="B29" s="346"/>
      <c r="C29" s="341" t="s">
        <v>68</v>
      </c>
      <c r="D29" s="342"/>
      <c r="E29" s="28"/>
      <c r="F29" s="184">
        <v>20</v>
      </c>
      <c r="G29" s="28"/>
    </row>
    <row r="30" spans="1:7" s="12" customFormat="1" ht="13.5" thickBot="1" x14ac:dyDescent="0.3">
      <c r="A30" s="44" t="s">
        <v>123</v>
      </c>
      <c r="B30" s="24" t="s">
        <v>108</v>
      </c>
      <c r="C30" s="357"/>
      <c r="D30" s="358"/>
      <c r="E30" s="29"/>
      <c r="F30" s="193"/>
      <c r="G30" s="29"/>
    </row>
    <row r="31" spans="1:7" s="12" customFormat="1" x14ac:dyDescent="0.25">
      <c r="A31" s="343" t="s">
        <v>59</v>
      </c>
      <c r="B31" s="345"/>
      <c r="C31" s="347" t="s">
        <v>58</v>
      </c>
      <c r="D31" s="348"/>
      <c r="E31" s="28"/>
      <c r="F31" s="192">
        <v>138</v>
      </c>
      <c r="G31" s="28"/>
    </row>
    <row r="32" spans="1:7" s="12" customFormat="1" x14ac:dyDescent="0.25">
      <c r="A32" s="351"/>
      <c r="B32" s="352"/>
      <c r="C32" s="353" t="s">
        <v>57</v>
      </c>
      <c r="D32" s="354"/>
      <c r="E32" s="28"/>
      <c r="F32" s="180">
        <v>233</v>
      </c>
      <c r="G32" s="28"/>
    </row>
    <row r="33" spans="1:7" s="12" customFormat="1" x14ac:dyDescent="0.25">
      <c r="A33" s="351"/>
      <c r="B33" s="352"/>
      <c r="C33" s="353" t="s">
        <v>69</v>
      </c>
      <c r="D33" s="354"/>
      <c r="E33" s="28"/>
      <c r="F33" s="180">
        <v>90</v>
      </c>
      <c r="G33" s="28"/>
    </row>
    <row r="34" spans="1:7" s="12" customFormat="1" x14ac:dyDescent="0.25">
      <c r="A34" s="351"/>
      <c r="B34" s="352"/>
      <c r="C34" s="355" t="s">
        <v>70</v>
      </c>
      <c r="D34" s="356"/>
      <c r="E34" s="28"/>
      <c r="F34" s="180">
        <v>73</v>
      </c>
      <c r="G34" s="28"/>
    </row>
    <row r="35" spans="1:7" s="12" customFormat="1" ht="13.5" thickBot="1" x14ac:dyDescent="0.3">
      <c r="A35" s="344"/>
      <c r="B35" s="346"/>
      <c r="C35" s="341" t="s">
        <v>111</v>
      </c>
      <c r="D35" s="342"/>
      <c r="E35" s="28"/>
      <c r="F35" s="184">
        <v>74.599999999999994</v>
      </c>
      <c r="G35" s="28"/>
    </row>
    <row r="36" spans="1:7" s="12" customFormat="1" x14ac:dyDescent="0.25">
      <c r="A36" s="343" t="s">
        <v>11</v>
      </c>
      <c r="B36" s="345"/>
      <c r="C36" s="347" t="s">
        <v>24</v>
      </c>
      <c r="D36" s="348"/>
      <c r="E36" s="28"/>
      <c r="F36" s="192">
        <v>4600</v>
      </c>
      <c r="G36" s="28"/>
    </row>
    <row r="37" spans="1:7" s="12" customFormat="1" ht="13.5" thickBot="1" x14ac:dyDescent="0.3">
      <c r="A37" s="344"/>
      <c r="B37" s="346"/>
      <c r="C37" s="341" t="s">
        <v>22</v>
      </c>
      <c r="D37" s="342"/>
      <c r="E37" s="28"/>
      <c r="F37" s="184">
        <v>5000</v>
      </c>
      <c r="G37" s="28"/>
    </row>
    <row r="38" spans="1:7" s="12" customFormat="1" ht="13.5" customHeight="1" x14ac:dyDescent="0.25">
      <c r="A38" s="343" t="s">
        <v>16</v>
      </c>
      <c r="B38" s="345"/>
      <c r="C38" s="347" t="s">
        <v>24</v>
      </c>
      <c r="D38" s="348"/>
      <c r="E38" s="28"/>
      <c r="F38" s="192">
        <v>7800</v>
      </c>
      <c r="G38" s="28"/>
    </row>
    <row r="39" spans="1:7" s="12" customFormat="1" ht="15.95" customHeight="1" thickBot="1" x14ac:dyDescent="0.3">
      <c r="A39" s="344"/>
      <c r="B39" s="346"/>
      <c r="C39" s="349" t="s">
        <v>23</v>
      </c>
      <c r="D39" s="350"/>
      <c r="E39" s="28"/>
      <c r="F39" s="184">
        <v>7800</v>
      </c>
      <c r="G39" s="28"/>
    </row>
    <row r="40" spans="1:7" s="12" customFormat="1" ht="18.600000000000001" customHeight="1" thickBot="1" x14ac:dyDescent="0.3">
      <c r="A40" s="44" t="s">
        <v>52</v>
      </c>
      <c r="B40" s="24" t="s">
        <v>53</v>
      </c>
      <c r="C40" s="357"/>
      <c r="D40" s="358"/>
      <c r="E40" s="29"/>
      <c r="F40" s="193"/>
      <c r="G40" s="29"/>
    </row>
    <row r="41" spans="1:7" s="12" customFormat="1" ht="13.5" customHeight="1" thickBot="1" x14ac:dyDescent="0.3">
      <c r="A41" s="367" t="s">
        <v>12</v>
      </c>
      <c r="B41" s="368" t="s">
        <v>142</v>
      </c>
      <c r="C41" s="347" t="s">
        <v>174</v>
      </c>
      <c r="D41" s="348"/>
      <c r="E41" s="28"/>
      <c r="F41" s="192" t="s">
        <v>371</v>
      </c>
      <c r="G41" s="28"/>
    </row>
    <row r="42" spans="1:7" s="12" customFormat="1" ht="13.5" customHeight="1" thickBot="1" x14ac:dyDescent="0.3">
      <c r="A42" s="367"/>
      <c r="B42" s="368"/>
      <c r="C42" s="353" t="s">
        <v>175</v>
      </c>
      <c r="D42" s="354"/>
      <c r="E42" s="28"/>
      <c r="F42" s="180">
        <v>2680</v>
      </c>
      <c r="G42" s="28"/>
    </row>
    <row r="43" spans="1:7" s="12" customFormat="1" ht="13.5" customHeight="1" thickBot="1" x14ac:dyDescent="0.3">
      <c r="A43" s="367"/>
      <c r="B43" s="368"/>
      <c r="C43" s="353" t="s">
        <v>176</v>
      </c>
      <c r="D43" s="354"/>
      <c r="E43" s="28"/>
      <c r="F43" s="209" t="s">
        <v>371</v>
      </c>
      <c r="G43" s="28"/>
    </row>
    <row r="44" spans="1:7" s="12" customFormat="1" ht="13.5" customHeight="1" thickBot="1" x14ac:dyDescent="0.3">
      <c r="A44" s="367"/>
      <c r="B44" s="368"/>
      <c r="C44" s="353" t="s">
        <v>177</v>
      </c>
      <c r="D44" s="354"/>
      <c r="E44" s="28"/>
      <c r="F44" s="180">
        <v>2470</v>
      </c>
      <c r="G44" s="28"/>
    </row>
    <row r="45" spans="1:7" s="12" customFormat="1" ht="13.5" customHeight="1" thickBot="1" x14ac:dyDescent="0.3">
      <c r="A45" s="367"/>
      <c r="B45" s="368"/>
      <c r="C45" s="353" t="s">
        <v>112</v>
      </c>
      <c r="D45" s="354"/>
      <c r="E45" s="28"/>
      <c r="F45" s="180" t="s">
        <v>372</v>
      </c>
      <c r="G45" s="28"/>
    </row>
    <row r="46" spans="1:7" s="12" customFormat="1" ht="13.5" thickBot="1" x14ac:dyDescent="0.3">
      <c r="A46" s="367"/>
      <c r="B46" s="368"/>
      <c r="C46" s="353" t="s">
        <v>113</v>
      </c>
      <c r="D46" s="354"/>
      <c r="E46" s="28"/>
      <c r="F46" s="180" t="s">
        <v>343</v>
      </c>
      <c r="G46" s="28"/>
    </row>
    <row r="47" spans="1:7" s="12" customFormat="1" ht="13.5" customHeight="1" thickBot="1" x14ac:dyDescent="0.3">
      <c r="A47" s="367"/>
      <c r="B47" s="368"/>
      <c r="C47" s="355" t="s">
        <v>114</v>
      </c>
      <c r="D47" s="356"/>
      <c r="E47" s="28"/>
      <c r="F47" s="180" t="s">
        <v>372</v>
      </c>
      <c r="G47" s="28"/>
    </row>
    <row r="48" spans="1:7" s="12" customFormat="1" ht="13.5" thickBot="1" x14ac:dyDescent="0.3">
      <c r="A48" s="367"/>
      <c r="B48" s="368"/>
      <c r="C48" s="341" t="s">
        <v>115</v>
      </c>
      <c r="D48" s="342"/>
      <c r="E48" s="28"/>
      <c r="F48" s="184" t="s">
        <v>343</v>
      </c>
      <c r="G48" s="28"/>
    </row>
    <row r="49" spans="1:7" s="12" customFormat="1" x14ac:dyDescent="0.25">
      <c r="A49" s="343" t="s">
        <v>10</v>
      </c>
      <c r="B49" s="345" t="s">
        <v>62</v>
      </c>
      <c r="C49" s="347" t="s">
        <v>116</v>
      </c>
      <c r="D49" s="348"/>
      <c r="E49" s="28"/>
      <c r="F49" s="192">
        <v>6</v>
      </c>
      <c r="G49" s="28"/>
    </row>
    <row r="50" spans="1:7" s="12" customFormat="1" x14ac:dyDescent="0.25">
      <c r="A50" s="351"/>
      <c r="B50" s="352"/>
      <c r="C50" s="353" t="s">
        <v>117</v>
      </c>
      <c r="D50" s="354"/>
      <c r="E50" s="28"/>
      <c r="F50" s="180" t="s">
        <v>344</v>
      </c>
      <c r="G50" s="28"/>
    </row>
    <row r="51" spans="1:7" s="12" customFormat="1" ht="13.5" thickBot="1" x14ac:dyDescent="0.3">
      <c r="A51" s="351"/>
      <c r="B51" s="352"/>
      <c r="C51" s="349" t="s">
        <v>71</v>
      </c>
      <c r="D51" s="350"/>
      <c r="E51" s="28"/>
      <c r="F51" s="179" t="s">
        <v>373</v>
      </c>
      <c r="G51" s="28"/>
    </row>
    <row r="52" spans="1:7" s="12" customFormat="1" ht="78" customHeight="1" thickBot="1" x14ac:dyDescent="0.3">
      <c r="A52" s="45" t="s">
        <v>9</v>
      </c>
      <c r="B52" s="22" t="s">
        <v>140</v>
      </c>
      <c r="C52" s="355"/>
      <c r="D52" s="356"/>
      <c r="E52" s="28"/>
      <c r="F52" s="192"/>
      <c r="G52" s="28"/>
    </row>
    <row r="53" spans="1:7" s="12" customFormat="1" x14ac:dyDescent="0.25">
      <c r="A53" s="343" t="s">
        <v>25</v>
      </c>
      <c r="B53" s="345" t="s">
        <v>93</v>
      </c>
      <c r="C53" s="347" t="s">
        <v>72</v>
      </c>
      <c r="D53" s="348"/>
      <c r="E53" s="28"/>
      <c r="F53" s="192" t="s">
        <v>374</v>
      </c>
      <c r="G53" s="28"/>
    </row>
    <row r="54" spans="1:7" s="12" customFormat="1" ht="78.75" customHeight="1" thickBot="1" x14ac:dyDescent="0.3">
      <c r="A54" s="344"/>
      <c r="B54" s="346"/>
      <c r="C54" s="341" t="s">
        <v>73</v>
      </c>
      <c r="D54" s="342"/>
      <c r="E54" s="28"/>
      <c r="F54" s="184">
        <v>225</v>
      </c>
      <c r="G54" s="28"/>
    </row>
    <row r="55" spans="1:7" s="12" customFormat="1" x14ac:dyDescent="0.25">
      <c r="A55" s="343" t="s">
        <v>26</v>
      </c>
      <c r="B55" s="345"/>
      <c r="C55" s="347" t="s">
        <v>74</v>
      </c>
      <c r="D55" s="348"/>
      <c r="E55" s="28"/>
      <c r="F55" s="192" t="s">
        <v>375</v>
      </c>
      <c r="G55" s="28"/>
    </row>
    <row r="56" spans="1:7" s="12" customFormat="1" x14ac:dyDescent="0.25">
      <c r="A56" s="351"/>
      <c r="B56" s="352"/>
      <c r="C56" s="353" t="s">
        <v>75</v>
      </c>
      <c r="D56" s="354"/>
      <c r="E56" s="28"/>
      <c r="F56" s="180">
        <v>1</v>
      </c>
      <c r="G56" s="28"/>
    </row>
    <row r="57" spans="1:7" s="12" customFormat="1" ht="13.5" thickBot="1" x14ac:dyDescent="0.3">
      <c r="A57" s="344"/>
      <c r="B57" s="346"/>
      <c r="C57" s="341" t="s">
        <v>76</v>
      </c>
      <c r="D57" s="342"/>
      <c r="E57" s="28"/>
      <c r="F57" s="184" t="s">
        <v>376</v>
      </c>
      <c r="G57" s="28"/>
    </row>
    <row r="58" spans="1:7" s="12" customFormat="1" ht="17.100000000000001" customHeight="1" thickBot="1" x14ac:dyDescent="0.3">
      <c r="A58" s="44" t="s">
        <v>44</v>
      </c>
      <c r="B58" s="24" t="s">
        <v>45</v>
      </c>
      <c r="C58" s="357"/>
      <c r="D58" s="358"/>
      <c r="E58" s="29"/>
      <c r="F58" s="196"/>
      <c r="G58" s="29"/>
    </row>
    <row r="59" spans="1:7" s="12" customFormat="1" ht="30.95" customHeight="1" thickBot="1" x14ac:dyDescent="0.3">
      <c r="A59" s="44" t="s">
        <v>44</v>
      </c>
      <c r="B59" s="24" t="s">
        <v>63</v>
      </c>
      <c r="C59" s="357"/>
      <c r="D59" s="358"/>
      <c r="E59" s="29"/>
      <c r="F59" s="196"/>
      <c r="G59" s="29"/>
    </row>
    <row r="60" spans="1:7" s="12" customFormat="1" ht="27.95" customHeight="1" thickBot="1" x14ac:dyDescent="0.3">
      <c r="A60" s="44" t="s">
        <v>44</v>
      </c>
      <c r="B60" s="24" t="s">
        <v>64</v>
      </c>
      <c r="C60" s="357"/>
      <c r="D60" s="358"/>
      <c r="E60" s="29"/>
      <c r="F60" s="196"/>
      <c r="G60" s="29"/>
    </row>
    <row r="61" spans="1:7" s="12" customFormat="1" ht="17.100000000000001" customHeight="1" thickBot="1" x14ac:dyDescent="0.3">
      <c r="A61" s="44" t="s">
        <v>50</v>
      </c>
      <c r="B61" s="24" t="s">
        <v>65</v>
      </c>
      <c r="C61" s="357"/>
      <c r="D61" s="358"/>
      <c r="E61" s="29"/>
      <c r="F61" s="196"/>
      <c r="G61" s="29"/>
    </row>
    <row r="62" spans="1:7" s="12" customFormat="1" ht="13.5" thickBot="1" x14ac:dyDescent="0.3">
      <c r="A62" s="44" t="s">
        <v>27</v>
      </c>
      <c r="B62" s="24"/>
      <c r="C62" s="369" t="s">
        <v>77</v>
      </c>
      <c r="D62" s="370"/>
      <c r="E62" s="28"/>
      <c r="F62" s="193" t="s">
        <v>349</v>
      </c>
      <c r="G62" s="28"/>
    </row>
    <row r="63" spans="1:7" s="12" customFormat="1" ht="42" customHeight="1" thickBot="1" x14ac:dyDescent="0.3">
      <c r="A63" s="44" t="s">
        <v>28</v>
      </c>
      <c r="B63" s="24" t="s">
        <v>147</v>
      </c>
      <c r="C63" s="369" t="s">
        <v>78</v>
      </c>
      <c r="D63" s="370"/>
      <c r="E63" s="28"/>
      <c r="F63" s="193">
        <v>40</v>
      </c>
      <c r="G63" s="28"/>
    </row>
    <row r="64" spans="1:7" s="12" customFormat="1" ht="41.1" customHeight="1" thickBot="1" x14ac:dyDescent="0.3">
      <c r="A64" s="44" t="s">
        <v>51</v>
      </c>
      <c r="B64" s="24" t="s">
        <v>79</v>
      </c>
      <c r="C64" s="357"/>
      <c r="D64" s="358"/>
      <c r="E64" s="29"/>
      <c r="F64" s="193"/>
      <c r="G64" s="29"/>
    </row>
    <row r="65" spans="1:7" s="12" customFormat="1" ht="40.5" customHeight="1" thickBot="1" x14ac:dyDescent="0.3">
      <c r="A65" s="44" t="s">
        <v>54</v>
      </c>
      <c r="B65" s="24" t="s">
        <v>80</v>
      </c>
      <c r="C65" s="357"/>
      <c r="D65" s="358"/>
      <c r="E65" s="29"/>
      <c r="F65" s="193"/>
      <c r="G65" s="29"/>
    </row>
    <row r="66" spans="1:7" s="12" customFormat="1" ht="78" customHeight="1" thickBot="1" x14ac:dyDescent="0.3">
      <c r="A66" s="44" t="s">
        <v>29</v>
      </c>
      <c r="B66" s="24" t="s">
        <v>132</v>
      </c>
      <c r="C66" s="357"/>
      <c r="D66" s="358"/>
      <c r="E66" s="29"/>
      <c r="F66" s="193"/>
      <c r="G66" s="29"/>
    </row>
    <row r="67" spans="1:7" s="12" customFormat="1" ht="51" customHeight="1" thickBot="1" x14ac:dyDescent="0.3">
      <c r="A67" s="44" t="s">
        <v>31</v>
      </c>
      <c r="B67" s="24" t="s">
        <v>94</v>
      </c>
      <c r="C67" s="369" t="s">
        <v>30</v>
      </c>
      <c r="D67" s="370"/>
      <c r="E67" s="28"/>
      <c r="F67" s="193" t="s">
        <v>350</v>
      </c>
      <c r="G67" s="28"/>
    </row>
    <row r="68" spans="1:7" s="12" customFormat="1" ht="28.5" customHeight="1" thickBot="1" x14ac:dyDescent="0.3">
      <c r="A68" s="44" t="s">
        <v>55</v>
      </c>
      <c r="B68" s="24" t="s">
        <v>95</v>
      </c>
      <c r="C68" s="357"/>
      <c r="D68" s="358"/>
      <c r="E68" s="29"/>
      <c r="F68" s="193"/>
      <c r="G68" s="29"/>
    </row>
    <row r="69" spans="1:7" s="12" customFormat="1" ht="39.75" customHeight="1" thickBot="1" x14ac:dyDescent="0.3">
      <c r="A69" s="44" t="s">
        <v>32</v>
      </c>
      <c r="B69" s="24" t="s">
        <v>96</v>
      </c>
      <c r="C69" s="369" t="s">
        <v>30</v>
      </c>
      <c r="D69" s="370"/>
      <c r="E69" s="28"/>
      <c r="F69" s="193" t="s">
        <v>351</v>
      </c>
      <c r="G69" s="28"/>
    </row>
    <row r="70" spans="1:7" s="12" customFormat="1" ht="42.6" customHeight="1" thickBot="1" x14ac:dyDescent="0.3">
      <c r="A70" s="44" t="s">
        <v>56</v>
      </c>
      <c r="B70" s="24" t="s">
        <v>167</v>
      </c>
      <c r="C70" s="357"/>
      <c r="D70" s="358"/>
      <c r="E70" s="29"/>
      <c r="F70" s="193"/>
      <c r="G70" s="29"/>
    </row>
    <row r="71" spans="1:7" s="12" customFormat="1" ht="30.95" customHeight="1" thickBot="1" x14ac:dyDescent="0.3">
      <c r="A71" s="44" t="s">
        <v>48</v>
      </c>
      <c r="B71" s="24" t="s">
        <v>47</v>
      </c>
      <c r="C71" s="357"/>
      <c r="D71" s="358"/>
      <c r="E71" s="29"/>
      <c r="F71" s="193"/>
      <c r="G71" s="29"/>
    </row>
    <row r="72" spans="1:7" s="12" customFormat="1" ht="30.6" customHeight="1" thickBot="1" x14ac:dyDescent="0.3">
      <c r="A72" s="44" t="s">
        <v>49</v>
      </c>
      <c r="B72" s="24" t="s">
        <v>103</v>
      </c>
      <c r="C72" s="357"/>
      <c r="D72" s="358"/>
      <c r="E72" s="29"/>
      <c r="F72" s="193"/>
      <c r="G72" s="29"/>
    </row>
    <row r="73" spans="1:7" s="12" customFormat="1" ht="26.25" thickBot="1" x14ac:dyDescent="0.3">
      <c r="A73" s="44" t="s">
        <v>46</v>
      </c>
      <c r="B73" s="24" t="s">
        <v>81</v>
      </c>
      <c r="C73" s="357"/>
      <c r="D73" s="358"/>
      <c r="E73" s="29"/>
      <c r="F73" s="193"/>
      <c r="G73" s="29"/>
    </row>
    <row r="74" spans="1:7" ht="13.5" thickBot="1" x14ac:dyDescent="0.25">
      <c r="F74" s="250"/>
    </row>
    <row r="75" spans="1:7" s="15" customFormat="1" ht="18.75" thickBot="1" x14ac:dyDescent="0.3">
      <c r="A75" s="362" t="s">
        <v>168</v>
      </c>
      <c r="B75" s="363"/>
      <c r="C75" s="363"/>
      <c r="D75" s="364"/>
      <c r="E75" s="32"/>
      <c r="F75" s="208" t="s">
        <v>370</v>
      </c>
    </row>
    <row r="76" spans="1:7" s="3" customFormat="1" ht="15" customHeight="1" thickBot="1" x14ac:dyDescent="0.3">
      <c r="A76" s="371" t="s">
        <v>169</v>
      </c>
      <c r="B76" s="372"/>
      <c r="C76" s="372"/>
      <c r="D76" s="373"/>
      <c r="E76" s="33"/>
      <c r="F76" s="246" t="s">
        <v>17</v>
      </c>
    </row>
    <row r="77" spans="1:7" s="12" customFormat="1" x14ac:dyDescent="0.25">
      <c r="A77" s="374" t="s">
        <v>82</v>
      </c>
      <c r="B77" s="375"/>
      <c r="C77" s="375"/>
      <c r="D77" s="376"/>
      <c r="E77" s="29"/>
      <c r="F77" s="251">
        <f>1010*('PPI Adj'!D6)</f>
        <v>1178.67</v>
      </c>
      <c r="G77" s="28"/>
    </row>
    <row r="78" spans="1:7" s="12" customFormat="1" x14ac:dyDescent="0.25">
      <c r="A78" s="374" t="s">
        <v>83</v>
      </c>
      <c r="B78" s="375"/>
      <c r="C78" s="375"/>
      <c r="D78" s="376"/>
      <c r="E78" s="29"/>
      <c r="F78" s="251">
        <f>-1010*('PPI Adj'!D6)</f>
        <v>-1178.67</v>
      </c>
      <c r="G78" s="28"/>
    </row>
    <row r="79" spans="1:7" s="12" customFormat="1" x14ac:dyDescent="0.25">
      <c r="A79" s="377" t="s">
        <v>34</v>
      </c>
      <c r="B79" s="378"/>
      <c r="C79" s="378"/>
      <c r="D79" s="379"/>
      <c r="E79" s="28"/>
      <c r="F79" s="252">
        <f>532*('PPI Adj'!D6)</f>
        <v>620.84400000000005</v>
      </c>
      <c r="G79" s="28"/>
    </row>
    <row r="80" spans="1:7" s="12" customFormat="1" x14ac:dyDescent="0.25">
      <c r="A80" s="377" t="s">
        <v>35</v>
      </c>
      <c r="B80" s="378"/>
      <c r="C80" s="378"/>
      <c r="D80" s="379"/>
      <c r="E80" s="29"/>
      <c r="F80" s="252">
        <f>261*('PPI Adj'!D6)</f>
        <v>304.58699999999999</v>
      </c>
      <c r="G80" s="28"/>
    </row>
    <row r="81" spans="1:7" s="12" customFormat="1" x14ac:dyDescent="0.25">
      <c r="A81" s="377" t="s">
        <v>36</v>
      </c>
      <c r="B81" s="378"/>
      <c r="C81" s="378"/>
      <c r="D81" s="379"/>
      <c r="E81" s="28"/>
      <c r="F81" s="252">
        <f>290*('PPI Adj'!D6)</f>
        <v>338.43</v>
      </c>
      <c r="G81" s="28"/>
    </row>
    <row r="82" spans="1:7" s="12" customFormat="1" x14ac:dyDescent="0.25">
      <c r="A82" s="377" t="s">
        <v>60</v>
      </c>
      <c r="B82" s="378"/>
      <c r="C82" s="378"/>
      <c r="D82" s="379"/>
      <c r="E82" s="28"/>
      <c r="F82" s="252">
        <f>1086*('PPI Adj'!D6)</f>
        <v>1267.3620000000001</v>
      </c>
      <c r="G82" s="28"/>
    </row>
    <row r="83" spans="1:7" s="12" customFormat="1" x14ac:dyDescent="0.25">
      <c r="A83" s="377" t="s">
        <v>61</v>
      </c>
      <c r="B83" s="378"/>
      <c r="C83" s="378"/>
      <c r="D83" s="379"/>
      <c r="E83" s="28"/>
      <c r="F83" s="252">
        <f>1524*('PPI Adj'!D6)</f>
        <v>1778.508</v>
      </c>
      <c r="G83" s="28"/>
    </row>
    <row r="84" spans="1:7" s="12" customFormat="1" x14ac:dyDescent="0.25">
      <c r="A84" s="377" t="s">
        <v>86</v>
      </c>
      <c r="B84" s="378"/>
      <c r="C84" s="378"/>
      <c r="D84" s="379"/>
      <c r="E84" s="28"/>
      <c r="F84" s="252">
        <f>856*('PPI Adj'!D6)</f>
        <v>998.952</v>
      </c>
      <c r="G84" s="28"/>
    </row>
    <row r="85" spans="1:7" x14ac:dyDescent="0.2">
      <c r="A85" s="377" t="s">
        <v>85</v>
      </c>
      <c r="B85" s="378"/>
      <c r="C85" s="378"/>
      <c r="D85" s="379"/>
      <c r="E85" s="28"/>
      <c r="F85" s="252" t="s">
        <v>181</v>
      </c>
      <c r="G85" s="5"/>
    </row>
    <row r="86" spans="1:7" x14ac:dyDescent="0.2">
      <c r="A86" s="377" t="s">
        <v>13</v>
      </c>
      <c r="B86" s="378"/>
      <c r="C86" s="378"/>
      <c r="D86" s="379"/>
      <c r="E86" s="28"/>
      <c r="F86" s="252">
        <f>10801*('PPI Adj'!D6)</f>
        <v>12604.767</v>
      </c>
      <c r="G86" s="5"/>
    </row>
    <row r="87" spans="1:7" x14ac:dyDescent="0.2">
      <c r="A87" s="377" t="s">
        <v>37</v>
      </c>
      <c r="B87" s="378"/>
      <c r="C87" s="378"/>
      <c r="D87" s="379"/>
      <c r="E87" s="29"/>
      <c r="F87" s="252">
        <f>500*('PPI Adj'!D6)</f>
        <v>583.5</v>
      </c>
      <c r="G87" s="5"/>
    </row>
    <row r="88" spans="1:7" x14ac:dyDescent="0.2">
      <c r="A88" s="377" t="s">
        <v>38</v>
      </c>
      <c r="B88" s="378"/>
      <c r="C88" s="378"/>
      <c r="D88" s="379"/>
      <c r="E88" s="29"/>
      <c r="F88" s="252">
        <f>662*('PPI Adj'!D6)</f>
        <v>772.55399999999997</v>
      </c>
      <c r="G88" s="5"/>
    </row>
    <row r="89" spans="1:7" x14ac:dyDescent="0.2">
      <c r="A89" s="377" t="s">
        <v>39</v>
      </c>
      <c r="B89" s="378"/>
      <c r="C89" s="378"/>
      <c r="D89" s="379"/>
      <c r="E89" s="28"/>
      <c r="F89" s="252">
        <f>882*('PPI Adj'!D6)</f>
        <v>1029.2940000000001</v>
      </c>
      <c r="G89" s="5"/>
    </row>
    <row r="90" spans="1:7" x14ac:dyDescent="0.2">
      <c r="A90" s="377" t="s">
        <v>90</v>
      </c>
      <c r="B90" s="378"/>
      <c r="C90" s="378"/>
      <c r="D90" s="379"/>
      <c r="E90" s="29"/>
      <c r="F90" s="252">
        <f>394.87*('PPI Adj'!D6)</f>
        <v>460.81328999999999</v>
      </c>
      <c r="G90" s="5"/>
    </row>
    <row r="91" spans="1:7" x14ac:dyDescent="0.2">
      <c r="A91" s="377" t="s">
        <v>88</v>
      </c>
      <c r="B91" s="378"/>
      <c r="C91" s="378"/>
      <c r="D91" s="379"/>
      <c r="E91" s="28"/>
      <c r="F91" s="252" t="s">
        <v>181</v>
      </c>
      <c r="G91" s="5"/>
    </row>
    <row r="92" spans="1:7" x14ac:dyDescent="0.2">
      <c r="A92" s="377" t="s">
        <v>40</v>
      </c>
      <c r="B92" s="378"/>
      <c r="C92" s="378"/>
      <c r="D92" s="379"/>
      <c r="E92" s="28"/>
      <c r="F92" s="252">
        <f>204*('PPI Adj'!D6)</f>
        <v>238.06800000000001</v>
      </c>
      <c r="G92" s="5"/>
    </row>
    <row r="93" spans="1:7" x14ac:dyDescent="0.2">
      <c r="A93" s="377" t="s">
        <v>14</v>
      </c>
      <c r="B93" s="378"/>
      <c r="C93" s="378"/>
      <c r="D93" s="379"/>
      <c r="E93" s="28"/>
      <c r="F93" s="252">
        <f>8330*('PPI Adj'!D6)</f>
        <v>9721.11</v>
      </c>
      <c r="G93" s="5"/>
    </row>
    <row r="94" spans="1:7" x14ac:dyDescent="0.2">
      <c r="A94" s="377" t="s">
        <v>91</v>
      </c>
      <c r="B94" s="378"/>
      <c r="C94" s="378"/>
      <c r="D94" s="379"/>
      <c r="E94" s="28"/>
      <c r="F94" s="253">
        <f>1971*('PPI Adj'!D6)</f>
        <v>2300.1570000000002</v>
      </c>
      <c r="G94" s="5"/>
    </row>
    <row r="95" spans="1:7" x14ac:dyDescent="0.2">
      <c r="A95" s="383" t="s">
        <v>272</v>
      </c>
      <c r="B95" s="384"/>
      <c r="C95" s="384"/>
      <c r="D95" s="385"/>
      <c r="E95" s="28"/>
      <c r="F95" s="252">
        <f>-1036*('PPI Adj'!D6)</f>
        <v>-1209.0119999999999</v>
      </c>
      <c r="G95" s="5"/>
    </row>
    <row r="96" spans="1:7" ht="13.5" thickBot="1" x14ac:dyDescent="0.25">
      <c r="A96" s="380" t="s">
        <v>92</v>
      </c>
      <c r="B96" s="381"/>
      <c r="C96" s="381"/>
      <c r="D96" s="382"/>
      <c r="E96" s="29"/>
      <c r="F96" s="254">
        <f>-2023*('PPI Adj'!D6)</f>
        <v>-2360.8409999999999</v>
      </c>
      <c r="G96" s="5"/>
    </row>
    <row r="97" spans="1:6" ht="13.5" thickBot="1" x14ac:dyDescent="0.25">
      <c r="F97" s="250"/>
    </row>
    <row r="98" spans="1:6" s="15" customFormat="1" ht="18.75" thickBot="1" x14ac:dyDescent="0.3">
      <c r="A98" s="362" t="s">
        <v>166</v>
      </c>
      <c r="B98" s="363"/>
      <c r="C98" s="363"/>
      <c r="D98" s="364"/>
      <c r="E98" s="32"/>
      <c r="F98" s="208" t="s">
        <v>370</v>
      </c>
    </row>
    <row r="99" spans="1:6" s="3" customFormat="1" ht="15" customHeight="1" thickBot="1" x14ac:dyDescent="0.3">
      <c r="A99" s="46" t="s">
        <v>33</v>
      </c>
      <c r="B99" s="18" t="s">
        <v>7</v>
      </c>
      <c r="C99" s="386" t="s">
        <v>165</v>
      </c>
      <c r="D99" s="387"/>
      <c r="E99" s="33"/>
      <c r="F99" s="246" t="s">
        <v>17</v>
      </c>
    </row>
    <row r="100" spans="1:6" s="12" customFormat="1" ht="29.45" customHeight="1" thickBot="1" x14ac:dyDescent="0.3">
      <c r="A100" s="47" t="s">
        <v>82</v>
      </c>
      <c r="B100" s="14" t="s">
        <v>130</v>
      </c>
      <c r="C100" s="388"/>
      <c r="D100" s="389"/>
      <c r="E100" s="29"/>
      <c r="F100" s="193"/>
    </row>
    <row r="101" spans="1:6" s="12" customFormat="1" ht="42" customHeight="1" thickBot="1" x14ac:dyDescent="0.3">
      <c r="A101" s="47" t="s">
        <v>83</v>
      </c>
      <c r="B101" s="17" t="s">
        <v>146</v>
      </c>
      <c r="C101" s="388"/>
      <c r="D101" s="389"/>
      <c r="E101" s="29"/>
      <c r="F101" s="193"/>
    </row>
    <row r="102" spans="1:6" s="12" customFormat="1" ht="27" customHeight="1" thickBot="1" x14ac:dyDescent="0.3">
      <c r="A102" s="44" t="s">
        <v>34</v>
      </c>
      <c r="B102" s="24" t="s">
        <v>107</v>
      </c>
      <c r="C102" s="369" t="s">
        <v>30</v>
      </c>
      <c r="D102" s="370"/>
      <c r="E102" s="28"/>
      <c r="F102" s="193" t="s">
        <v>352</v>
      </c>
    </row>
    <row r="103" spans="1:6" s="12" customFormat="1" ht="53.45" customHeight="1" thickBot="1" x14ac:dyDescent="0.3">
      <c r="A103" s="44" t="s">
        <v>35</v>
      </c>
      <c r="B103" s="24" t="s">
        <v>97</v>
      </c>
      <c r="C103" s="357"/>
      <c r="D103" s="358"/>
      <c r="E103" s="29"/>
      <c r="F103" s="192"/>
    </row>
    <row r="104" spans="1:6" s="12" customFormat="1" ht="32.1" customHeight="1" thickBot="1" x14ac:dyDescent="0.3">
      <c r="A104" s="44" t="s">
        <v>36</v>
      </c>
      <c r="B104" s="24" t="s">
        <v>84</v>
      </c>
      <c r="C104" s="369" t="s">
        <v>99</v>
      </c>
      <c r="D104" s="370"/>
      <c r="E104" s="28"/>
      <c r="F104" s="193" t="s">
        <v>308</v>
      </c>
    </row>
    <row r="105" spans="1:6" s="12" customFormat="1" ht="12.75" customHeight="1" x14ac:dyDescent="0.25">
      <c r="A105" s="343" t="s">
        <v>60</v>
      </c>
      <c r="B105" s="345" t="s">
        <v>133</v>
      </c>
      <c r="C105" s="347" t="s">
        <v>176</v>
      </c>
      <c r="D105" s="348"/>
      <c r="E105" s="28"/>
      <c r="F105" s="192" t="s">
        <v>371</v>
      </c>
    </row>
    <row r="106" spans="1:6" s="12" customFormat="1" ht="12.75" customHeight="1" x14ac:dyDescent="0.25">
      <c r="A106" s="351"/>
      <c r="B106" s="352"/>
      <c r="C106" s="353" t="s">
        <v>177</v>
      </c>
      <c r="D106" s="354"/>
      <c r="E106" s="28"/>
      <c r="F106" s="180">
        <v>2470</v>
      </c>
    </row>
    <row r="107" spans="1:6" s="12" customFormat="1" ht="12.75" customHeight="1" x14ac:dyDescent="0.25">
      <c r="A107" s="351"/>
      <c r="B107" s="352"/>
      <c r="C107" s="353" t="s">
        <v>114</v>
      </c>
      <c r="D107" s="354"/>
      <c r="E107" s="28"/>
      <c r="F107" s="180" t="s">
        <v>377</v>
      </c>
    </row>
    <row r="108" spans="1:6" s="12" customFormat="1" ht="29.1" customHeight="1" thickBot="1" x14ac:dyDescent="0.3">
      <c r="A108" s="344"/>
      <c r="B108" s="346"/>
      <c r="C108" s="341" t="s">
        <v>115</v>
      </c>
      <c r="D108" s="342"/>
      <c r="E108" s="28"/>
      <c r="F108" s="184" t="s">
        <v>356</v>
      </c>
    </row>
    <row r="109" spans="1:6" s="12" customFormat="1" ht="12.75" customHeight="1" x14ac:dyDescent="0.25">
      <c r="A109" s="343" t="s">
        <v>61</v>
      </c>
      <c r="B109" s="345" t="s">
        <v>134</v>
      </c>
      <c r="C109" s="347" t="s">
        <v>174</v>
      </c>
      <c r="D109" s="348"/>
      <c r="E109" s="28"/>
      <c r="F109" s="192" t="s">
        <v>371</v>
      </c>
    </row>
    <row r="110" spans="1:6" s="12" customFormat="1" ht="12.75" customHeight="1" x14ac:dyDescent="0.25">
      <c r="A110" s="351"/>
      <c r="B110" s="352"/>
      <c r="C110" s="353" t="s">
        <v>175</v>
      </c>
      <c r="D110" s="354"/>
      <c r="E110" s="28"/>
      <c r="F110" s="209">
        <v>2680</v>
      </c>
    </row>
    <row r="111" spans="1:6" s="12" customFormat="1" ht="12.75" customHeight="1" x14ac:dyDescent="0.25">
      <c r="A111" s="351"/>
      <c r="B111" s="352"/>
      <c r="C111" s="353" t="s">
        <v>176</v>
      </c>
      <c r="D111" s="354"/>
      <c r="E111" s="28"/>
      <c r="F111" s="209" t="s">
        <v>371</v>
      </c>
    </row>
    <row r="112" spans="1:6" s="12" customFormat="1" ht="12.75" customHeight="1" x14ac:dyDescent="0.25">
      <c r="A112" s="351"/>
      <c r="B112" s="352"/>
      <c r="C112" s="353" t="s">
        <v>177</v>
      </c>
      <c r="D112" s="354"/>
      <c r="E112" s="28"/>
      <c r="F112" s="180">
        <v>2470</v>
      </c>
    </row>
    <row r="113" spans="1:6" s="12" customFormat="1" ht="12.75" customHeight="1" x14ac:dyDescent="0.25">
      <c r="A113" s="351"/>
      <c r="B113" s="352"/>
      <c r="C113" s="353" t="s">
        <v>112</v>
      </c>
      <c r="D113" s="354"/>
      <c r="E113" s="28"/>
      <c r="F113" s="180" t="s">
        <v>358</v>
      </c>
    </row>
    <row r="114" spans="1:6" s="12" customFormat="1" ht="12.75" customHeight="1" x14ac:dyDescent="0.25">
      <c r="A114" s="351"/>
      <c r="B114" s="352"/>
      <c r="C114" s="353" t="s">
        <v>113</v>
      </c>
      <c r="D114" s="354"/>
      <c r="E114" s="28"/>
      <c r="F114" s="209" t="s">
        <v>359</v>
      </c>
    </row>
    <row r="115" spans="1:6" s="12" customFormat="1" ht="12.75" customHeight="1" x14ac:dyDescent="0.25">
      <c r="A115" s="351"/>
      <c r="B115" s="352"/>
      <c r="C115" s="353" t="s">
        <v>114</v>
      </c>
      <c r="D115" s="354"/>
      <c r="E115" s="28"/>
      <c r="F115" s="209" t="s">
        <v>358</v>
      </c>
    </row>
    <row r="116" spans="1:6" s="12" customFormat="1" ht="15.95" customHeight="1" thickBot="1" x14ac:dyDescent="0.3">
      <c r="A116" s="344"/>
      <c r="B116" s="346"/>
      <c r="C116" s="341" t="s">
        <v>115</v>
      </c>
      <c r="D116" s="342"/>
      <c r="E116" s="28"/>
      <c r="F116" s="184" t="s">
        <v>359</v>
      </c>
    </row>
    <row r="117" spans="1:6" s="12" customFormat="1" ht="144.94999999999999" customHeight="1" thickBot="1" x14ac:dyDescent="0.3">
      <c r="A117" s="48" t="s">
        <v>86</v>
      </c>
      <c r="B117" s="16" t="s">
        <v>143</v>
      </c>
      <c r="C117" s="369" t="s">
        <v>104</v>
      </c>
      <c r="D117" s="370"/>
      <c r="E117" s="28"/>
      <c r="F117" s="192" t="s">
        <v>360</v>
      </c>
    </row>
    <row r="118" spans="1:6" ht="170.1" customHeight="1" thickBot="1" x14ac:dyDescent="0.25">
      <c r="A118" s="44" t="s">
        <v>85</v>
      </c>
      <c r="B118" s="13" t="s">
        <v>170</v>
      </c>
      <c r="C118" s="369" t="s">
        <v>104</v>
      </c>
      <c r="D118" s="370"/>
      <c r="E118" s="28"/>
      <c r="F118" s="193" t="s">
        <v>181</v>
      </c>
    </row>
    <row r="119" spans="1:6" x14ac:dyDescent="0.2">
      <c r="A119" s="343" t="s">
        <v>13</v>
      </c>
      <c r="B119" s="345" t="s">
        <v>98</v>
      </c>
      <c r="C119" s="347" t="s">
        <v>30</v>
      </c>
      <c r="D119" s="348"/>
      <c r="E119" s="28"/>
      <c r="F119" s="192" t="s">
        <v>361</v>
      </c>
    </row>
    <row r="120" spans="1:6" ht="29.45" customHeight="1" thickBot="1" x14ac:dyDescent="0.25">
      <c r="A120" s="344"/>
      <c r="B120" s="346"/>
      <c r="C120" s="341" t="s">
        <v>109</v>
      </c>
      <c r="D120" s="342"/>
      <c r="E120" s="28"/>
      <c r="F120" s="184" t="s">
        <v>362</v>
      </c>
    </row>
    <row r="121" spans="1:6" ht="67.5" customHeight="1" thickBot="1" x14ac:dyDescent="0.25">
      <c r="A121" s="44" t="s">
        <v>37</v>
      </c>
      <c r="B121" s="24" t="s">
        <v>135</v>
      </c>
      <c r="C121" s="357"/>
      <c r="D121" s="358"/>
      <c r="E121" s="29"/>
      <c r="F121" s="193" t="s">
        <v>378</v>
      </c>
    </row>
    <row r="122" spans="1:6" ht="41.1" customHeight="1" thickBot="1" x14ac:dyDescent="0.25">
      <c r="A122" s="44" t="s">
        <v>38</v>
      </c>
      <c r="B122" s="24" t="s">
        <v>87</v>
      </c>
      <c r="C122" s="357"/>
      <c r="D122" s="358"/>
      <c r="E122" s="29"/>
      <c r="F122" s="193"/>
    </row>
    <row r="123" spans="1:6" ht="26.25" thickBot="1" x14ac:dyDescent="0.25">
      <c r="A123" s="44" t="s">
        <v>39</v>
      </c>
      <c r="B123" s="24" t="s">
        <v>106</v>
      </c>
      <c r="C123" s="369" t="s">
        <v>105</v>
      </c>
      <c r="D123" s="370"/>
      <c r="E123" s="28"/>
      <c r="F123" s="193" t="s">
        <v>380</v>
      </c>
    </row>
    <row r="124" spans="1:6" ht="40.5" customHeight="1" thickBot="1" x14ac:dyDescent="0.25">
      <c r="A124" s="44" t="s">
        <v>90</v>
      </c>
      <c r="B124" s="24" t="s">
        <v>129</v>
      </c>
      <c r="C124" s="357"/>
      <c r="D124" s="358"/>
      <c r="E124" s="29"/>
      <c r="F124" s="193"/>
    </row>
    <row r="125" spans="1:6" x14ac:dyDescent="0.2">
      <c r="A125" s="343" t="s">
        <v>88</v>
      </c>
      <c r="B125" s="345" t="s">
        <v>148</v>
      </c>
      <c r="C125" s="347" t="s">
        <v>100</v>
      </c>
      <c r="D125" s="348"/>
      <c r="E125" s="28"/>
      <c r="F125" s="192" t="s">
        <v>181</v>
      </c>
    </row>
    <row r="126" spans="1:6" ht="108" customHeight="1" thickBot="1" x14ac:dyDescent="0.25">
      <c r="A126" s="344"/>
      <c r="B126" s="346"/>
      <c r="C126" s="341" t="s">
        <v>110</v>
      </c>
      <c r="D126" s="342"/>
      <c r="E126" s="28"/>
      <c r="F126" s="255"/>
    </row>
    <row r="127" spans="1:6" ht="26.25" thickBot="1" x14ac:dyDescent="0.25">
      <c r="A127" s="44" t="s">
        <v>40</v>
      </c>
      <c r="B127" s="24" t="s">
        <v>137</v>
      </c>
      <c r="C127" s="369" t="s">
        <v>100</v>
      </c>
      <c r="D127" s="370"/>
      <c r="E127" s="28"/>
      <c r="F127" s="184" t="s">
        <v>379</v>
      </c>
    </row>
    <row r="128" spans="1:6" ht="53.45" customHeight="1" thickBot="1" x14ac:dyDescent="0.25">
      <c r="A128" s="44" t="s">
        <v>14</v>
      </c>
      <c r="B128" s="24" t="s">
        <v>138</v>
      </c>
      <c r="C128" s="369" t="s">
        <v>139</v>
      </c>
      <c r="D128" s="370"/>
      <c r="E128" s="28"/>
      <c r="F128" s="193">
        <v>2</v>
      </c>
    </row>
    <row r="129" spans="1:6" ht="67.5" customHeight="1" thickBot="1" x14ac:dyDescent="0.25">
      <c r="A129" s="44" t="s">
        <v>91</v>
      </c>
      <c r="B129" s="24" t="s">
        <v>144</v>
      </c>
      <c r="C129" s="369" t="s">
        <v>100</v>
      </c>
      <c r="D129" s="370"/>
      <c r="E129" s="28"/>
      <c r="F129" s="193" t="s">
        <v>364</v>
      </c>
    </row>
    <row r="130" spans="1:6" ht="69" customHeight="1" thickBot="1" x14ac:dyDescent="0.25">
      <c r="A130" s="44" t="s">
        <v>92</v>
      </c>
      <c r="B130" s="24" t="s">
        <v>145</v>
      </c>
      <c r="C130" s="357"/>
      <c r="D130" s="358"/>
      <c r="E130" s="29"/>
      <c r="F130" s="193"/>
    </row>
  </sheetData>
  <sheetProtection algorithmName="SHA-512" hashValue="Jfbb4iaDVL5sCwbRWXsJ80p3P0mwbvS9cibuQLbIRehHspzti+CzDiCVz/NEYxekvGPAaXEF/gNR4YZ9O3Qkhw==" saltValue="f8Tz8cZWzLLPpDZTVn4RDg==" spinCount="100000" sheet="1" objects="1" scenarios="1"/>
  <dataConsolidate/>
  <mergeCells count="146">
    <mergeCell ref="C127:D127"/>
    <mergeCell ref="C128:D128"/>
    <mergeCell ref="C129:D129"/>
    <mergeCell ref="C130:D130"/>
    <mergeCell ref="A87:D87"/>
    <mergeCell ref="C121:D121"/>
    <mergeCell ref="C122:D122"/>
    <mergeCell ref="C123:D123"/>
    <mergeCell ref="C124:D124"/>
    <mergeCell ref="A125:A126"/>
    <mergeCell ref="B125:B126"/>
    <mergeCell ref="C125:D125"/>
    <mergeCell ref="C126:D126"/>
    <mergeCell ref="C117:D117"/>
    <mergeCell ref="C118:D118"/>
    <mergeCell ref="A119:A120"/>
    <mergeCell ref="B119:B120"/>
    <mergeCell ref="C119:D119"/>
    <mergeCell ref="C120:D120"/>
    <mergeCell ref="A109:A116"/>
    <mergeCell ref="B109:B116"/>
    <mergeCell ref="C109:D109"/>
    <mergeCell ref="C110:D110"/>
    <mergeCell ref="C111:D111"/>
    <mergeCell ref="C112:D112"/>
    <mergeCell ref="C113:D113"/>
    <mergeCell ref="C114:D114"/>
    <mergeCell ref="C115:D115"/>
    <mergeCell ref="C116:D116"/>
    <mergeCell ref="C99:D99"/>
    <mergeCell ref="C100:D100"/>
    <mergeCell ref="C101:D101"/>
    <mergeCell ref="C102:D102"/>
    <mergeCell ref="C103:D103"/>
    <mergeCell ref="C104:D104"/>
    <mergeCell ref="A105:A108"/>
    <mergeCell ref="B105:B108"/>
    <mergeCell ref="C105:D105"/>
    <mergeCell ref="C106:D106"/>
    <mergeCell ref="C107:D107"/>
    <mergeCell ref="C108:D108"/>
    <mergeCell ref="A81:D81"/>
    <mergeCell ref="A82:D82"/>
    <mergeCell ref="A83:D83"/>
    <mergeCell ref="A84:D84"/>
    <mergeCell ref="A85:D85"/>
    <mergeCell ref="A93:D93"/>
    <mergeCell ref="A94:D94"/>
    <mergeCell ref="A96:D96"/>
    <mergeCell ref="A98:D98"/>
    <mergeCell ref="A86:D86"/>
    <mergeCell ref="A88:D88"/>
    <mergeCell ref="A89:D89"/>
    <mergeCell ref="A90:D90"/>
    <mergeCell ref="A91:D91"/>
    <mergeCell ref="A92:D92"/>
    <mergeCell ref="A95:D95"/>
    <mergeCell ref="A77:D77"/>
    <mergeCell ref="A78:D78"/>
    <mergeCell ref="A79:D79"/>
    <mergeCell ref="C70:D70"/>
    <mergeCell ref="C71:D71"/>
    <mergeCell ref="C72:D72"/>
    <mergeCell ref="C73:D73"/>
    <mergeCell ref="A75:D75"/>
    <mergeCell ref="A80:D80"/>
    <mergeCell ref="C62:D62"/>
    <mergeCell ref="C63:D63"/>
    <mergeCell ref="C64:D64"/>
    <mergeCell ref="C65:D65"/>
    <mergeCell ref="C66:D66"/>
    <mergeCell ref="C67:D67"/>
    <mergeCell ref="C68:D68"/>
    <mergeCell ref="C69:D69"/>
    <mergeCell ref="A76:D76"/>
    <mergeCell ref="A55:A57"/>
    <mergeCell ref="B55:B57"/>
    <mergeCell ref="C55:D55"/>
    <mergeCell ref="C56:D56"/>
    <mergeCell ref="C57:D57"/>
    <mergeCell ref="C58:D58"/>
    <mergeCell ref="C59:D59"/>
    <mergeCell ref="C60:D60"/>
    <mergeCell ref="C61:D61"/>
    <mergeCell ref="A49:A51"/>
    <mergeCell ref="B49:B51"/>
    <mergeCell ref="C49:D49"/>
    <mergeCell ref="C50:D50"/>
    <mergeCell ref="C51:D51"/>
    <mergeCell ref="C52:D52"/>
    <mergeCell ref="A53:A54"/>
    <mergeCell ref="B53:B54"/>
    <mergeCell ref="C53:D53"/>
    <mergeCell ref="C54:D54"/>
    <mergeCell ref="C40:D40"/>
    <mergeCell ref="A41:A48"/>
    <mergeCell ref="B41:B48"/>
    <mergeCell ref="C41:D41"/>
    <mergeCell ref="C42:D42"/>
    <mergeCell ref="C43:D43"/>
    <mergeCell ref="C44:D44"/>
    <mergeCell ref="C45:D45"/>
    <mergeCell ref="C46:D46"/>
    <mergeCell ref="C47:D47"/>
    <mergeCell ref="C48:D48"/>
    <mergeCell ref="A38:A39"/>
    <mergeCell ref="B38:B39"/>
    <mergeCell ref="C38:D38"/>
    <mergeCell ref="C39:D39"/>
    <mergeCell ref="A31:A35"/>
    <mergeCell ref="B31:B35"/>
    <mergeCell ref="C31:D31"/>
    <mergeCell ref="C32:D32"/>
    <mergeCell ref="C33:D33"/>
    <mergeCell ref="C34:D34"/>
    <mergeCell ref="A36:A37"/>
    <mergeCell ref="B36:B37"/>
    <mergeCell ref="C36:D36"/>
    <mergeCell ref="C37:D37"/>
    <mergeCell ref="B17:D17"/>
    <mergeCell ref="C26:D26"/>
    <mergeCell ref="C35:D35"/>
    <mergeCell ref="C27:D27"/>
    <mergeCell ref="A28:A29"/>
    <mergeCell ref="B28:B29"/>
    <mergeCell ref="C28:D28"/>
    <mergeCell ref="C29:D29"/>
    <mergeCell ref="C30:D30"/>
    <mergeCell ref="B21:D21"/>
    <mergeCell ref="B22:D22"/>
    <mergeCell ref="B23:D23"/>
    <mergeCell ref="A25:D25"/>
    <mergeCell ref="A19:D19"/>
    <mergeCell ref="A3:D3"/>
    <mergeCell ref="A4:D4"/>
    <mergeCell ref="A5:E5"/>
    <mergeCell ref="A6:D6"/>
    <mergeCell ref="B12:D12"/>
    <mergeCell ref="B13:D13"/>
    <mergeCell ref="B14:D14"/>
    <mergeCell ref="B15:D15"/>
    <mergeCell ref="B16:D16"/>
    <mergeCell ref="B8:D8"/>
    <mergeCell ref="B9:D9"/>
    <mergeCell ref="B10:D10"/>
    <mergeCell ref="B11:D11"/>
  </mergeCells>
  <conditionalFormatting sqref="C52 C60">
    <cfRule type="expression" dxfId="152" priority="104">
      <formula>#REF!="NO"</formula>
    </cfRule>
  </conditionalFormatting>
  <conditionalFormatting sqref="C100:F130">
    <cfRule type="expression" dxfId="151" priority="2">
      <formula>#REF!="NO"</formula>
    </cfRule>
  </conditionalFormatting>
  <conditionalFormatting sqref="C27:G73">
    <cfRule type="expression" dxfId="150" priority="19">
      <formula>#REF!="NO"</formula>
    </cfRule>
  </conditionalFormatting>
  <conditionalFormatting sqref="E77:F96">
    <cfRule type="expression" dxfId="149" priority="1">
      <formula>#REF!="NO"</formula>
    </cfRule>
  </conditionalFormatting>
  <conditionalFormatting sqref="F8:F17">
    <cfRule type="expression" dxfId="148" priority="38">
      <formula>#REF!="NO"</formula>
    </cfRule>
  </conditionalFormatting>
  <conditionalFormatting sqref="F21:F23">
    <cfRule type="expression" dxfId="147" priority="51">
      <formula>#REF!="NO"</formula>
    </cfRule>
  </conditionalFormatting>
  <dataValidations count="3">
    <dataValidation type="decimal" operator="greaterThanOrEqual" allowBlank="1" showInputMessage="1" showErrorMessage="1" error="The Pickup Allowance cannot be a negative number." sqref="F16" xr:uid="{00000000-0002-0000-0200-000002000000}">
      <formula1>0</formula1>
    </dataValidation>
    <dataValidation type="decimal" allowBlank="1" showInputMessage="1" showErrorMessage="1" error="Invalid Entry - Bidder must enter a value that is greater than $0" sqref="F21:F22" xr:uid="{00000000-0002-0000-0200-000001000000}">
      <formula1>0</formula1>
      <formula2>9E+21</formula2>
    </dataValidation>
    <dataValidation type="decimal" allowBlank="1" showInputMessage="1" showErrorMessage="1" error="The Additional Options NYS Discount entered must be greater than 0%, or less than or equal to 100%." sqref="F23" xr:uid="{00000000-0002-0000-0200-000000000000}">
      <formula1>0.01</formula1>
      <formula2>100</formula2>
    </dataValidation>
  </dataValidations>
  <pageMargins left="0.25" right="0.25" top="0.5" bottom="0.25" header="0.3" footer="0.3"/>
  <pageSetup scale="93" fitToHeight="0" orientation="landscape" r:id="rId1"/>
  <rowBreaks count="1" manualBreakCount="1">
    <brk id="24" max="1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C8030-0FC3-4921-B746-C7947D5654AE}">
  <sheetPr>
    <tabColor rgb="FF7030A0"/>
    <pageSetUpPr autoPageBreaks="0" fitToPage="1"/>
  </sheetPr>
  <dimension ref="A1:H114"/>
  <sheetViews>
    <sheetView showGridLines="0" zoomScaleNormal="100" workbookViewId="0">
      <selection activeCell="A3" sqref="A3:D3"/>
    </sheetView>
  </sheetViews>
  <sheetFormatPr defaultColWidth="9.140625" defaultRowHeight="12.75" x14ac:dyDescent="0.2"/>
  <cols>
    <col min="1" max="1" width="19.140625" style="2" customWidth="1"/>
    <col min="2" max="2" width="61.7109375" style="2" customWidth="1"/>
    <col min="3" max="3" width="6.85546875" style="2" customWidth="1"/>
    <col min="4" max="4" width="33.7109375" style="2" customWidth="1"/>
    <col min="5" max="5" width="6.140625" style="5" customWidth="1"/>
    <col min="6" max="6" width="23.28515625" style="2" customWidth="1"/>
    <col min="7" max="9" width="20.7109375" style="2" customWidth="1"/>
    <col min="10" max="16384" width="9.140625" style="2"/>
  </cols>
  <sheetData>
    <row r="1" spans="1:7" ht="18" customHeight="1" x14ac:dyDescent="0.2">
      <c r="A1" s="245" t="str">
        <f>'A (Item 2-G)'!$A$1</f>
        <v>GROUP 40524-23254, SCHOOL BUSES (Statewide)                                                             Attachment 1 - Specifications and Pricing (Revised October 15, 2026)</v>
      </c>
      <c r="E1" s="2"/>
    </row>
    <row r="2" spans="1:7" s="19" customFormat="1" ht="18" customHeight="1" thickBot="1" x14ac:dyDescent="0.3">
      <c r="A2" s="305" t="str">
        <f>'A (Item 2-G)'!$A$2</f>
        <v>PC69862 Matthews Buses, Inc.</v>
      </c>
      <c r="B2" s="20"/>
      <c r="C2" s="20"/>
      <c r="D2" s="20"/>
      <c r="E2" s="20"/>
      <c r="F2" s="20"/>
      <c r="G2" s="20"/>
    </row>
    <row r="3" spans="1:7" ht="23.25" x14ac:dyDescent="0.2">
      <c r="A3" s="397" t="s">
        <v>507</v>
      </c>
      <c r="B3" s="398"/>
      <c r="C3" s="398"/>
      <c r="D3" s="399"/>
      <c r="E3" s="73"/>
      <c r="F3" s="8"/>
      <c r="G3" s="8"/>
    </row>
    <row r="4" spans="1:7" ht="51" customHeight="1" thickBot="1" x14ac:dyDescent="0.25">
      <c r="A4" s="400" t="s">
        <v>508</v>
      </c>
      <c r="B4" s="401"/>
      <c r="C4" s="401"/>
      <c r="D4" s="402"/>
      <c r="E4" s="74"/>
      <c r="F4" s="8"/>
      <c r="G4" s="8"/>
    </row>
    <row r="5" spans="1:7" s="4" customFormat="1" ht="11.25" customHeight="1" thickBot="1" x14ac:dyDescent="0.3">
      <c r="A5" s="403"/>
      <c r="B5" s="404"/>
      <c r="C5" s="404"/>
      <c r="D5" s="404"/>
      <c r="E5" s="51"/>
      <c r="F5" s="75"/>
      <c r="G5" s="75"/>
    </row>
    <row r="6" spans="1:7" s="7" customFormat="1" ht="16.5" customHeight="1" thickBot="1" x14ac:dyDescent="0.25">
      <c r="A6" s="70" t="s">
        <v>563</v>
      </c>
      <c r="B6" s="70"/>
      <c r="C6" s="71"/>
      <c r="D6" s="72"/>
      <c r="E6" s="76"/>
      <c r="F6" s="217" t="s">
        <v>180</v>
      </c>
      <c r="G6" s="173"/>
    </row>
    <row r="7" spans="1:7" s="4" customFormat="1" ht="23.25" customHeight="1" thickBot="1" x14ac:dyDescent="0.3">
      <c r="A7" s="77" t="s">
        <v>6</v>
      </c>
      <c r="B7" s="78" t="s">
        <v>564</v>
      </c>
      <c r="C7" s="78"/>
      <c r="D7" s="79"/>
      <c r="E7" s="33"/>
      <c r="F7" s="218" t="s">
        <v>184</v>
      </c>
      <c r="G7" s="175"/>
    </row>
    <row r="8" spans="1:7" ht="80.25" customHeight="1" thickTop="1" thickBot="1" x14ac:dyDescent="0.25">
      <c r="A8" s="80" t="s">
        <v>185</v>
      </c>
      <c r="B8" s="81" t="s">
        <v>565</v>
      </c>
      <c r="C8" s="81"/>
      <c r="D8" s="82"/>
      <c r="E8" s="12"/>
      <c r="F8" s="178" t="s">
        <v>510</v>
      </c>
      <c r="G8" s="177"/>
    </row>
    <row r="9" spans="1:7" s="7" customFormat="1" ht="44.25" customHeight="1" thickTop="1" thickBot="1" x14ac:dyDescent="0.25">
      <c r="A9" s="80" t="s">
        <v>136</v>
      </c>
      <c r="B9" s="324" t="s">
        <v>191</v>
      </c>
      <c r="C9" s="324"/>
      <c r="D9" s="325"/>
      <c r="E9" s="12"/>
      <c r="F9" s="178" t="s">
        <v>511</v>
      </c>
      <c r="G9" s="173"/>
    </row>
    <row r="10" spans="1:7" ht="12.75" customHeight="1" thickTop="1" x14ac:dyDescent="0.2">
      <c r="A10" s="83" t="s">
        <v>512</v>
      </c>
      <c r="B10" s="321" t="s">
        <v>513</v>
      </c>
      <c r="C10" s="321"/>
      <c r="D10" s="322"/>
      <c r="E10" s="12"/>
      <c r="F10" s="179">
        <v>2024</v>
      </c>
      <c r="G10" s="177"/>
    </row>
    <row r="11" spans="1:7" ht="12.75" customHeight="1" x14ac:dyDescent="0.2">
      <c r="A11" s="84" t="s">
        <v>0</v>
      </c>
      <c r="B11" s="315" t="s">
        <v>514</v>
      </c>
      <c r="C11" s="315"/>
      <c r="D11" s="316"/>
      <c r="E11" s="12"/>
      <c r="F11" s="180" t="s">
        <v>180</v>
      </c>
      <c r="G11" s="177"/>
    </row>
    <row r="12" spans="1:7" x14ac:dyDescent="0.2">
      <c r="A12" s="84" t="s">
        <v>1</v>
      </c>
      <c r="B12" s="315" t="s">
        <v>515</v>
      </c>
      <c r="C12" s="315"/>
      <c r="D12" s="316"/>
      <c r="E12" s="12"/>
      <c r="F12" s="180" t="s">
        <v>516</v>
      </c>
      <c r="G12" s="177"/>
    </row>
    <row r="13" spans="1:7" ht="12.75" customHeight="1" thickBot="1" x14ac:dyDescent="0.25">
      <c r="A13" s="85" t="s">
        <v>2</v>
      </c>
      <c r="B13" s="318" t="s">
        <v>517</v>
      </c>
      <c r="C13" s="318"/>
      <c r="D13" s="319"/>
      <c r="E13" s="12"/>
      <c r="F13" s="181" t="s">
        <v>518</v>
      </c>
      <c r="G13" s="177"/>
    </row>
    <row r="14" spans="1:7" ht="12.75" customHeight="1" thickTop="1" x14ac:dyDescent="0.2">
      <c r="A14" s="83" t="s">
        <v>519</v>
      </c>
      <c r="B14" s="86" t="s">
        <v>520</v>
      </c>
      <c r="C14" s="86"/>
      <c r="D14" s="87"/>
      <c r="E14" s="12"/>
      <c r="F14" s="179">
        <v>2024</v>
      </c>
      <c r="G14" s="177"/>
    </row>
    <row r="15" spans="1:7" x14ac:dyDescent="0.2">
      <c r="A15" s="84" t="s">
        <v>3</v>
      </c>
      <c r="B15" s="88" t="s">
        <v>521</v>
      </c>
      <c r="C15" s="88"/>
      <c r="D15" s="89"/>
      <c r="E15" s="12"/>
      <c r="F15" s="180" t="s">
        <v>337</v>
      </c>
      <c r="G15" s="177"/>
    </row>
    <row r="16" spans="1:7" ht="25.5" x14ac:dyDescent="0.2">
      <c r="A16" s="84" t="s">
        <v>4</v>
      </c>
      <c r="B16" s="88" t="s">
        <v>522</v>
      </c>
      <c r="C16" s="88"/>
      <c r="D16" s="89"/>
      <c r="E16" s="12"/>
      <c r="F16" s="180" t="s">
        <v>338</v>
      </c>
      <c r="G16" s="177"/>
    </row>
    <row r="17" spans="1:8" ht="13.5" customHeight="1" thickBot="1" x14ac:dyDescent="0.25">
      <c r="A17" s="90" t="s">
        <v>5</v>
      </c>
      <c r="B17" s="91" t="s">
        <v>523</v>
      </c>
      <c r="C17" s="91"/>
      <c r="D17" s="92"/>
      <c r="E17" s="12"/>
      <c r="F17" s="182" t="s">
        <v>390</v>
      </c>
      <c r="G17" s="177"/>
    </row>
    <row r="18" spans="1:8" ht="29.25" customHeight="1" thickTop="1" x14ac:dyDescent="0.2">
      <c r="A18" s="84" t="s">
        <v>101</v>
      </c>
      <c r="B18" s="321" t="s">
        <v>524</v>
      </c>
      <c r="C18" s="321"/>
      <c r="D18" s="322"/>
      <c r="E18" s="12"/>
      <c r="F18" s="183">
        <v>100</v>
      </c>
      <c r="G18" s="177"/>
    </row>
    <row r="19" spans="1:8" ht="30.75" customHeight="1" thickBot="1" x14ac:dyDescent="0.25">
      <c r="A19" s="90" t="s">
        <v>43</v>
      </c>
      <c r="B19" s="393" t="s">
        <v>525</v>
      </c>
      <c r="C19" s="393"/>
      <c r="D19" s="394"/>
      <c r="E19" s="12"/>
      <c r="F19" s="184" t="s">
        <v>526</v>
      </c>
      <c r="G19" s="177"/>
    </row>
    <row r="20" spans="1:8" s="9" customFormat="1" ht="14.25" thickTop="1" thickBot="1" x14ac:dyDescent="0.25">
      <c r="E20" s="10"/>
      <c r="F20" s="185"/>
      <c r="G20" s="185"/>
      <c r="H20" s="10"/>
    </row>
    <row r="21" spans="1:8" s="11" customFormat="1" ht="16.5" customHeight="1" thickBot="1" x14ac:dyDescent="0.25">
      <c r="A21" s="70" t="s">
        <v>150</v>
      </c>
      <c r="B21" s="71"/>
      <c r="C21" s="71"/>
      <c r="D21" s="72"/>
      <c r="E21" s="76"/>
      <c r="F21" s="217" t="s">
        <v>180</v>
      </c>
      <c r="G21" s="186"/>
    </row>
    <row r="22" spans="1:8" s="4" customFormat="1" ht="23.25" customHeight="1" thickBot="1" x14ac:dyDescent="0.3">
      <c r="A22" s="77" t="s">
        <v>6</v>
      </c>
      <c r="B22" s="93" t="s">
        <v>165</v>
      </c>
      <c r="C22" s="78"/>
      <c r="D22" s="79"/>
      <c r="E22" s="33"/>
      <c r="F22" s="174" t="s">
        <v>184</v>
      </c>
      <c r="G22" s="175"/>
    </row>
    <row r="23" spans="1:8" ht="57" customHeight="1" thickTop="1" thickBot="1" x14ac:dyDescent="0.25">
      <c r="A23" s="94" t="s">
        <v>42</v>
      </c>
      <c r="B23" s="405" t="s">
        <v>161</v>
      </c>
      <c r="C23" s="406"/>
      <c r="D23" s="407"/>
      <c r="E23" s="12"/>
      <c r="F23" s="219">
        <f>302994.23*('PPI Adj'!H6)</f>
        <v>313296.03382000001</v>
      </c>
      <c r="G23" s="177"/>
    </row>
    <row r="24" spans="1:8" ht="26.25" customHeight="1" thickBot="1" x14ac:dyDescent="0.25">
      <c r="A24" s="84" t="s">
        <v>41</v>
      </c>
      <c r="B24" s="359" t="s">
        <v>163</v>
      </c>
      <c r="C24" s="360"/>
      <c r="D24" s="361"/>
      <c r="E24" s="1"/>
      <c r="F24" s="220">
        <v>20</v>
      </c>
      <c r="G24" s="177"/>
    </row>
    <row r="25" spans="1:8" ht="13.5" thickBot="1" x14ac:dyDescent="0.25">
      <c r="A25" s="95"/>
      <c r="B25" s="1"/>
      <c r="C25" s="1"/>
      <c r="D25" s="1"/>
      <c r="E25" s="65"/>
      <c r="F25" s="177"/>
      <c r="G25" s="177"/>
    </row>
    <row r="26" spans="1:8" s="7" customFormat="1" ht="15.75" customHeight="1" thickBot="1" x14ac:dyDescent="0.25">
      <c r="A26" s="96" t="s">
        <v>164</v>
      </c>
      <c r="B26" s="97"/>
      <c r="C26" s="97"/>
      <c r="D26" s="98"/>
      <c r="E26" s="99"/>
      <c r="F26" s="217" t="s">
        <v>180</v>
      </c>
      <c r="G26" s="173"/>
    </row>
    <row r="27" spans="1:8" s="3" customFormat="1" ht="37.5" customHeight="1" thickBot="1" x14ac:dyDescent="0.3">
      <c r="A27" s="49" t="s">
        <v>6</v>
      </c>
      <c r="B27" s="50" t="s">
        <v>7</v>
      </c>
      <c r="C27" s="365" t="s">
        <v>165</v>
      </c>
      <c r="D27" s="366"/>
      <c r="E27" s="33"/>
      <c r="F27" s="174" t="s">
        <v>184</v>
      </c>
      <c r="G27" s="190"/>
    </row>
    <row r="28" spans="1:8" s="12" customFormat="1" ht="39" thickBot="1" x14ac:dyDescent="0.3">
      <c r="A28" s="43" t="s">
        <v>8</v>
      </c>
      <c r="B28" s="23" t="s">
        <v>131</v>
      </c>
      <c r="C28" s="369" t="s">
        <v>118</v>
      </c>
      <c r="D28" s="370"/>
      <c r="E28" s="28"/>
      <c r="F28" s="184">
        <v>14500</v>
      </c>
      <c r="G28" s="191"/>
    </row>
    <row r="29" spans="1:8" s="12" customFormat="1" ht="15" customHeight="1" x14ac:dyDescent="0.25">
      <c r="A29" s="343" t="s">
        <v>21</v>
      </c>
      <c r="B29" s="345" t="s">
        <v>529</v>
      </c>
      <c r="C29" s="347" t="s">
        <v>67</v>
      </c>
      <c r="D29" s="348"/>
      <c r="E29" s="28"/>
      <c r="F29" s="192">
        <v>4</v>
      </c>
      <c r="G29" s="191"/>
    </row>
    <row r="30" spans="1:8" s="12" customFormat="1" ht="15.75" customHeight="1" thickBot="1" x14ac:dyDescent="0.3">
      <c r="A30" s="344"/>
      <c r="B30" s="346"/>
      <c r="C30" s="349" t="s">
        <v>68</v>
      </c>
      <c r="D30" s="350"/>
      <c r="E30" s="28"/>
      <c r="F30" s="184">
        <v>22</v>
      </c>
      <c r="G30" s="191"/>
    </row>
    <row r="31" spans="1:8" s="12" customFormat="1" ht="15.75" customHeight="1" thickBot="1" x14ac:dyDescent="0.3">
      <c r="A31" s="44" t="s">
        <v>123</v>
      </c>
      <c r="B31" s="24" t="s">
        <v>108</v>
      </c>
      <c r="C31" s="395"/>
      <c r="D31" s="396"/>
      <c r="E31" s="100"/>
      <c r="F31" s="193"/>
      <c r="G31" s="191"/>
    </row>
    <row r="32" spans="1:8" s="12" customFormat="1" ht="15" customHeight="1" x14ac:dyDescent="0.25">
      <c r="A32" s="343" t="s">
        <v>59</v>
      </c>
      <c r="B32" s="345"/>
      <c r="C32" s="347" t="s">
        <v>58</v>
      </c>
      <c r="D32" s="348"/>
      <c r="E32" s="28"/>
      <c r="F32" s="192">
        <v>158</v>
      </c>
      <c r="G32" s="191"/>
    </row>
    <row r="33" spans="1:7" s="12" customFormat="1" ht="15" customHeight="1" x14ac:dyDescent="0.25">
      <c r="A33" s="351"/>
      <c r="B33" s="352"/>
      <c r="C33" s="353" t="s">
        <v>57</v>
      </c>
      <c r="D33" s="354"/>
      <c r="E33" s="28"/>
      <c r="F33" s="180">
        <v>260.3</v>
      </c>
      <c r="G33" s="191"/>
    </row>
    <row r="34" spans="1:7" s="12" customFormat="1" ht="15" customHeight="1" x14ac:dyDescent="0.25">
      <c r="A34" s="351"/>
      <c r="B34" s="352"/>
      <c r="C34" s="353" t="s">
        <v>69</v>
      </c>
      <c r="D34" s="354"/>
      <c r="E34" s="28"/>
      <c r="F34" s="180">
        <v>90</v>
      </c>
      <c r="G34" s="191"/>
    </row>
    <row r="35" spans="1:7" s="12" customFormat="1" ht="15" customHeight="1" x14ac:dyDescent="0.25">
      <c r="A35" s="351"/>
      <c r="B35" s="352"/>
      <c r="C35" s="355" t="s">
        <v>70</v>
      </c>
      <c r="D35" s="356"/>
      <c r="E35" s="28"/>
      <c r="F35" s="180">
        <v>73</v>
      </c>
      <c r="G35" s="191"/>
    </row>
    <row r="36" spans="1:7" s="12" customFormat="1" ht="15.75" customHeight="1" thickBot="1" x14ac:dyDescent="0.3">
      <c r="A36" s="344"/>
      <c r="B36" s="346"/>
      <c r="C36" s="341" t="s">
        <v>111</v>
      </c>
      <c r="D36" s="342"/>
      <c r="E36" s="28"/>
      <c r="F36" s="184">
        <v>92.3</v>
      </c>
      <c r="G36" s="191"/>
    </row>
    <row r="37" spans="1:7" s="12" customFormat="1" ht="15" customHeight="1" x14ac:dyDescent="0.25">
      <c r="A37" s="343" t="s">
        <v>11</v>
      </c>
      <c r="B37" s="345"/>
      <c r="C37" s="347" t="s">
        <v>24</v>
      </c>
      <c r="D37" s="348"/>
      <c r="E37" s="28"/>
      <c r="F37" s="192">
        <v>5000</v>
      </c>
      <c r="G37" s="191"/>
    </row>
    <row r="38" spans="1:7" s="12" customFormat="1" ht="15.75" customHeight="1" thickBot="1" x14ac:dyDescent="0.3">
      <c r="A38" s="344"/>
      <c r="B38" s="346"/>
      <c r="C38" s="341" t="s">
        <v>22</v>
      </c>
      <c r="D38" s="342"/>
      <c r="E38" s="28"/>
      <c r="F38" s="184">
        <v>5000</v>
      </c>
      <c r="G38" s="191"/>
    </row>
    <row r="39" spans="1:7" s="12" customFormat="1" ht="15" customHeight="1" x14ac:dyDescent="0.25">
      <c r="A39" s="343" t="s">
        <v>16</v>
      </c>
      <c r="B39" s="345"/>
      <c r="C39" s="347" t="s">
        <v>24</v>
      </c>
      <c r="D39" s="348"/>
      <c r="E39" s="28"/>
      <c r="F39" s="192">
        <v>9600</v>
      </c>
      <c r="G39" s="191"/>
    </row>
    <row r="40" spans="1:7" s="12" customFormat="1" ht="15.75" customHeight="1" thickBot="1" x14ac:dyDescent="0.3">
      <c r="A40" s="344"/>
      <c r="B40" s="346"/>
      <c r="C40" s="349" t="s">
        <v>23</v>
      </c>
      <c r="D40" s="350"/>
      <c r="E40" s="28"/>
      <c r="F40" s="184">
        <v>9600</v>
      </c>
      <c r="G40" s="191"/>
    </row>
    <row r="41" spans="1:7" s="12" customFormat="1" ht="15.75" customHeight="1" thickBot="1" x14ac:dyDescent="0.3">
      <c r="A41" s="44" t="s">
        <v>52</v>
      </c>
      <c r="B41" s="24" t="s">
        <v>53</v>
      </c>
      <c r="C41" s="395"/>
      <c r="D41" s="396"/>
      <c r="E41" s="100"/>
      <c r="F41" s="193"/>
      <c r="G41" s="191"/>
    </row>
    <row r="42" spans="1:7" s="12" customFormat="1" ht="41.25" customHeight="1" thickBot="1" x14ac:dyDescent="0.3">
      <c r="A42" s="367" t="s">
        <v>12</v>
      </c>
      <c r="B42" s="368" t="s">
        <v>142</v>
      </c>
      <c r="C42" s="347" t="s">
        <v>205</v>
      </c>
      <c r="D42" s="348"/>
      <c r="E42" s="28"/>
      <c r="F42" s="192" t="s">
        <v>530</v>
      </c>
      <c r="G42" s="191"/>
    </row>
    <row r="43" spans="1:7" s="12" customFormat="1" ht="39" customHeight="1" thickBot="1" x14ac:dyDescent="0.3">
      <c r="A43" s="367"/>
      <c r="B43" s="368"/>
      <c r="C43" s="353" t="s">
        <v>531</v>
      </c>
      <c r="D43" s="354"/>
      <c r="E43" s="28"/>
      <c r="F43" s="180">
        <v>2680</v>
      </c>
      <c r="G43" s="191"/>
    </row>
    <row r="44" spans="1:7" s="12" customFormat="1" ht="52.5" customHeight="1" thickBot="1" x14ac:dyDescent="0.3">
      <c r="A44" s="367"/>
      <c r="B44" s="368"/>
      <c r="C44" s="353" t="s">
        <v>203</v>
      </c>
      <c r="D44" s="354"/>
      <c r="E44" s="28"/>
      <c r="F44" s="209" t="s">
        <v>530</v>
      </c>
      <c r="G44" s="191"/>
    </row>
    <row r="45" spans="1:7" s="12" customFormat="1" ht="44.25" customHeight="1" thickBot="1" x14ac:dyDescent="0.3">
      <c r="A45" s="367"/>
      <c r="B45" s="368"/>
      <c r="C45" s="353" t="s">
        <v>532</v>
      </c>
      <c r="D45" s="354"/>
      <c r="E45" s="28"/>
      <c r="F45" s="180">
        <v>2470</v>
      </c>
      <c r="G45" s="191"/>
    </row>
    <row r="46" spans="1:7" s="12" customFormat="1" ht="15.75" customHeight="1" thickBot="1" x14ac:dyDescent="0.3">
      <c r="A46" s="367"/>
      <c r="B46" s="368"/>
      <c r="C46" s="353" t="s">
        <v>112</v>
      </c>
      <c r="D46" s="354"/>
      <c r="E46" s="28"/>
      <c r="F46" s="180" t="s">
        <v>533</v>
      </c>
      <c r="G46" s="191"/>
    </row>
    <row r="47" spans="1:7" s="12" customFormat="1" ht="15.75" customHeight="1" thickBot="1" x14ac:dyDescent="0.3">
      <c r="A47" s="367"/>
      <c r="B47" s="368"/>
      <c r="C47" s="353" t="s">
        <v>113</v>
      </c>
      <c r="D47" s="354"/>
      <c r="E47" s="28"/>
      <c r="F47" s="180" t="s">
        <v>534</v>
      </c>
      <c r="G47" s="191"/>
    </row>
    <row r="48" spans="1:7" s="12" customFormat="1" ht="15.75" customHeight="1" thickBot="1" x14ac:dyDescent="0.3">
      <c r="A48" s="367"/>
      <c r="B48" s="368"/>
      <c r="C48" s="355" t="s">
        <v>114</v>
      </c>
      <c r="D48" s="356"/>
      <c r="E48" s="28"/>
      <c r="F48" s="180" t="s">
        <v>533</v>
      </c>
      <c r="G48" s="191"/>
    </row>
    <row r="49" spans="1:7" s="12" customFormat="1" ht="15.75" customHeight="1" thickBot="1" x14ac:dyDescent="0.3">
      <c r="A49" s="367"/>
      <c r="B49" s="368"/>
      <c r="C49" s="341" t="s">
        <v>115</v>
      </c>
      <c r="D49" s="342"/>
      <c r="E49" s="28"/>
      <c r="F49" s="184" t="s">
        <v>534</v>
      </c>
      <c r="G49" s="191"/>
    </row>
    <row r="50" spans="1:7" s="12" customFormat="1" ht="15" customHeight="1" x14ac:dyDescent="0.25">
      <c r="A50" s="343" t="s">
        <v>10</v>
      </c>
      <c r="B50" s="345" t="s">
        <v>62</v>
      </c>
      <c r="C50" s="347" t="s">
        <v>116</v>
      </c>
      <c r="D50" s="348"/>
      <c r="E50" s="28"/>
      <c r="F50" s="192">
        <v>1</v>
      </c>
      <c r="G50" s="191"/>
    </row>
    <row r="51" spans="1:7" s="12" customFormat="1" ht="15" customHeight="1" x14ac:dyDescent="0.25">
      <c r="A51" s="351"/>
      <c r="B51" s="352"/>
      <c r="C51" s="353" t="s">
        <v>117</v>
      </c>
      <c r="D51" s="354"/>
      <c r="E51" s="28"/>
      <c r="F51" s="180" t="s">
        <v>197</v>
      </c>
      <c r="G51" s="191"/>
    </row>
    <row r="52" spans="1:7" s="12" customFormat="1" ht="15.75" customHeight="1" thickBot="1" x14ac:dyDescent="0.3">
      <c r="A52" s="351"/>
      <c r="B52" s="352"/>
      <c r="C52" s="349" t="s">
        <v>71</v>
      </c>
      <c r="D52" s="350"/>
      <c r="E52" s="28"/>
      <c r="F52" s="179" t="s">
        <v>535</v>
      </c>
      <c r="G52" s="191"/>
    </row>
    <row r="53" spans="1:7" s="12" customFormat="1" ht="42.75" customHeight="1" thickBot="1" x14ac:dyDescent="0.3">
      <c r="A53" s="45" t="s">
        <v>185</v>
      </c>
      <c r="B53" s="22" t="s">
        <v>186</v>
      </c>
      <c r="C53" s="369" t="s">
        <v>187</v>
      </c>
      <c r="D53" s="370"/>
      <c r="E53" s="28"/>
      <c r="F53" s="192">
        <v>113</v>
      </c>
      <c r="G53" s="191"/>
    </row>
    <row r="54" spans="1:7" s="12" customFormat="1" ht="15" customHeight="1" x14ac:dyDescent="0.25">
      <c r="A54" s="343" t="s">
        <v>26</v>
      </c>
      <c r="B54" s="345" t="s">
        <v>536</v>
      </c>
      <c r="C54" s="355" t="s">
        <v>188</v>
      </c>
      <c r="D54" s="356"/>
      <c r="E54" s="28"/>
      <c r="F54" s="192">
        <v>1</v>
      </c>
      <c r="G54" s="191"/>
    </row>
    <row r="55" spans="1:7" s="12" customFormat="1" ht="15" customHeight="1" x14ac:dyDescent="0.25">
      <c r="A55" s="351"/>
      <c r="B55" s="352"/>
      <c r="C55" s="353" t="s">
        <v>189</v>
      </c>
      <c r="D55" s="354"/>
      <c r="E55" s="28"/>
      <c r="F55" s="180" t="s">
        <v>537</v>
      </c>
      <c r="G55" s="191"/>
    </row>
    <row r="56" spans="1:7" s="12" customFormat="1" ht="15.75" customHeight="1" thickBot="1" x14ac:dyDescent="0.3">
      <c r="A56" s="344"/>
      <c r="B56" s="346"/>
      <c r="C56" s="349" t="s">
        <v>190</v>
      </c>
      <c r="D56" s="350"/>
      <c r="E56" s="28"/>
      <c r="F56" s="184">
        <v>240</v>
      </c>
      <c r="G56" s="191"/>
    </row>
    <row r="57" spans="1:7" s="12" customFormat="1" ht="15.75" customHeight="1" thickBot="1" x14ac:dyDescent="0.3">
      <c r="A57" s="44" t="s">
        <v>44</v>
      </c>
      <c r="B57" s="24" t="s">
        <v>538</v>
      </c>
      <c r="C57" s="395"/>
      <c r="D57" s="396"/>
      <c r="E57" s="100"/>
      <c r="F57" s="196"/>
      <c r="G57" s="191"/>
    </row>
    <row r="58" spans="1:7" s="12" customFormat="1" ht="31.5" customHeight="1" thickBot="1" x14ac:dyDescent="0.3">
      <c r="A58" s="44" t="s">
        <v>44</v>
      </c>
      <c r="B58" s="24" t="s">
        <v>63</v>
      </c>
      <c r="C58" s="395"/>
      <c r="D58" s="396"/>
      <c r="E58" s="100"/>
      <c r="F58" s="196"/>
      <c r="G58" s="191"/>
    </row>
    <row r="59" spans="1:7" s="12" customFormat="1" ht="26.25" thickBot="1" x14ac:dyDescent="0.3">
      <c r="A59" s="44" t="s">
        <v>44</v>
      </c>
      <c r="B59" s="24" t="s">
        <v>64</v>
      </c>
      <c r="C59" s="395"/>
      <c r="D59" s="396"/>
      <c r="E59" s="100"/>
      <c r="F59" s="196"/>
      <c r="G59" s="191"/>
    </row>
    <row r="60" spans="1:7" s="12" customFormat="1" ht="15.75" customHeight="1" thickBot="1" x14ac:dyDescent="0.3">
      <c r="A60" s="44" t="s">
        <v>50</v>
      </c>
      <c r="B60" s="24" t="s">
        <v>65</v>
      </c>
      <c r="C60" s="395"/>
      <c r="D60" s="396"/>
      <c r="E60" s="100"/>
      <c r="F60" s="196"/>
      <c r="G60" s="191"/>
    </row>
    <row r="61" spans="1:7" s="12" customFormat="1" ht="15.75" customHeight="1" thickBot="1" x14ac:dyDescent="0.3">
      <c r="A61" s="44" t="s">
        <v>27</v>
      </c>
      <c r="B61" s="24"/>
      <c r="C61" s="369" t="s">
        <v>77</v>
      </c>
      <c r="D61" s="370"/>
      <c r="E61" s="28"/>
      <c r="F61" s="193" t="s">
        <v>349</v>
      </c>
      <c r="G61" s="191"/>
    </row>
    <row r="62" spans="1:7" s="12" customFormat="1" ht="31.5" customHeight="1" thickBot="1" x14ac:dyDescent="0.3">
      <c r="A62" s="44" t="s">
        <v>51</v>
      </c>
      <c r="B62" s="24" t="s">
        <v>79</v>
      </c>
      <c r="C62" s="395"/>
      <c r="D62" s="396"/>
      <c r="E62" s="100"/>
      <c r="F62" s="193"/>
      <c r="G62" s="191"/>
    </row>
    <row r="63" spans="1:7" s="12" customFormat="1" ht="42" customHeight="1" thickBot="1" x14ac:dyDescent="0.3">
      <c r="A63" s="44" t="s">
        <v>54</v>
      </c>
      <c r="B63" s="24" t="s">
        <v>80</v>
      </c>
      <c r="C63" s="395"/>
      <c r="D63" s="396"/>
      <c r="E63" s="100"/>
      <c r="F63" s="193"/>
      <c r="G63" s="191"/>
    </row>
    <row r="64" spans="1:7" s="12" customFormat="1" ht="40.15" customHeight="1" thickBot="1" x14ac:dyDescent="0.3">
      <c r="A64" s="44" t="s">
        <v>29</v>
      </c>
      <c r="B64" s="24" t="s">
        <v>539</v>
      </c>
      <c r="C64" s="395"/>
      <c r="D64" s="396"/>
      <c r="E64" s="100"/>
      <c r="F64" s="193"/>
      <c r="G64" s="191"/>
    </row>
    <row r="65" spans="1:7" s="12" customFormat="1" ht="41.25" customHeight="1" thickBot="1" x14ac:dyDescent="0.3">
      <c r="A65" s="44" t="s">
        <v>31</v>
      </c>
      <c r="B65" s="24" t="s">
        <v>94</v>
      </c>
      <c r="C65" s="369" t="s">
        <v>30</v>
      </c>
      <c r="D65" s="370"/>
      <c r="E65" s="28"/>
      <c r="F65" s="193" t="s">
        <v>350</v>
      </c>
      <c r="G65" s="191"/>
    </row>
    <row r="66" spans="1:7" s="12" customFormat="1" ht="26.25" thickBot="1" x14ac:dyDescent="0.3">
      <c r="A66" s="44" t="s">
        <v>55</v>
      </c>
      <c r="B66" s="24" t="s">
        <v>95</v>
      </c>
      <c r="C66" s="395"/>
      <c r="D66" s="396"/>
      <c r="E66" s="100"/>
      <c r="F66" s="193" t="s">
        <v>456</v>
      </c>
      <c r="G66" s="191"/>
    </row>
    <row r="67" spans="1:7" s="12" customFormat="1" ht="26.25" thickBot="1" x14ac:dyDescent="0.3">
      <c r="A67" s="44" t="s">
        <v>32</v>
      </c>
      <c r="B67" s="24" t="s">
        <v>96</v>
      </c>
      <c r="C67" s="369" t="s">
        <v>30</v>
      </c>
      <c r="D67" s="370"/>
      <c r="E67" s="28"/>
      <c r="F67" s="193" t="s">
        <v>351</v>
      </c>
      <c r="G67" s="191"/>
    </row>
    <row r="68" spans="1:7" s="12" customFormat="1" ht="51.75" thickBot="1" x14ac:dyDescent="0.3">
      <c r="A68" s="44" t="s">
        <v>56</v>
      </c>
      <c r="B68" s="24" t="s">
        <v>540</v>
      </c>
      <c r="C68" s="395"/>
      <c r="D68" s="396"/>
      <c r="E68" s="100"/>
      <c r="F68" s="193"/>
      <c r="G68" s="191"/>
    </row>
    <row r="69" spans="1:7" s="12" customFormat="1" ht="26.45" customHeight="1" thickBot="1" x14ac:dyDescent="0.3">
      <c r="A69" s="44" t="s">
        <v>48</v>
      </c>
      <c r="B69" s="24" t="s">
        <v>541</v>
      </c>
      <c r="C69" s="395"/>
      <c r="D69" s="396"/>
      <c r="E69" s="100"/>
      <c r="F69" s="193"/>
      <c r="G69" s="191"/>
    </row>
    <row r="70" spans="1:7" s="12" customFormat="1" ht="69" customHeight="1" thickBot="1" x14ac:dyDescent="0.3">
      <c r="A70" s="44" t="s">
        <v>49</v>
      </c>
      <c r="B70" s="24" t="s">
        <v>103</v>
      </c>
      <c r="C70" s="395" t="s">
        <v>542</v>
      </c>
      <c r="D70" s="396"/>
      <c r="E70" s="100"/>
      <c r="F70" s="193" t="s">
        <v>543</v>
      </c>
      <c r="G70" s="191"/>
    </row>
    <row r="71" spans="1:7" s="12" customFormat="1" ht="26.25" thickBot="1" x14ac:dyDescent="0.3">
      <c r="A71" s="44" t="s">
        <v>46</v>
      </c>
      <c r="B71" s="24" t="s">
        <v>81</v>
      </c>
      <c r="C71" s="395"/>
      <c r="D71" s="396"/>
      <c r="E71" s="100"/>
      <c r="F71" s="193"/>
      <c r="G71" s="191"/>
    </row>
    <row r="72" spans="1:7" ht="13.5" thickBot="1" x14ac:dyDescent="0.25">
      <c r="F72" s="177"/>
      <c r="G72" s="177"/>
    </row>
    <row r="73" spans="1:7" s="15" customFormat="1" ht="18" customHeight="1" thickBot="1" x14ac:dyDescent="0.3">
      <c r="A73" s="101" t="s">
        <v>544</v>
      </c>
      <c r="B73" s="68"/>
      <c r="C73" s="68"/>
      <c r="D73" s="69"/>
      <c r="E73" s="99"/>
      <c r="F73" s="408" t="s">
        <v>180</v>
      </c>
      <c r="G73" s="409"/>
    </row>
    <row r="74" spans="1:7" ht="34.5" customHeight="1" thickBot="1" x14ac:dyDescent="0.25">
      <c r="A74" s="419" t="s">
        <v>545</v>
      </c>
      <c r="B74" s="419"/>
      <c r="C74" s="419"/>
      <c r="D74" s="420"/>
      <c r="E74" s="102"/>
      <c r="F74" s="415" t="s">
        <v>184</v>
      </c>
      <c r="G74" s="417" t="s">
        <v>546</v>
      </c>
    </row>
    <row r="75" spans="1:7" s="3" customFormat="1" ht="25.5" x14ac:dyDescent="0.25">
      <c r="A75" s="46" t="s">
        <v>33</v>
      </c>
      <c r="B75" s="67" t="s">
        <v>7</v>
      </c>
      <c r="C75" s="386" t="s">
        <v>165</v>
      </c>
      <c r="D75" s="387"/>
      <c r="E75" s="33"/>
      <c r="F75" s="416"/>
      <c r="G75" s="418"/>
    </row>
    <row r="76" spans="1:7" s="12" customFormat="1" ht="39" thickBot="1" x14ac:dyDescent="0.3">
      <c r="A76" s="47" t="s">
        <v>83</v>
      </c>
      <c r="B76" s="17" t="s">
        <v>146</v>
      </c>
      <c r="C76" s="413"/>
      <c r="D76" s="414"/>
      <c r="E76" s="100"/>
      <c r="F76" s="198"/>
      <c r="G76" s="303">
        <f>-1117.06*('PPI Adj'!H6)</f>
        <v>-1155.0400400000001</v>
      </c>
    </row>
    <row r="77" spans="1:7" s="12" customFormat="1" ht="29.25" customHeight="1" thickBot="1" x14ac:dyDescent="0.3">
      <c r="A77" s="44" t="s">
        <v>34</v>
      </c>
      <c r="B77" s="24" t="s">
        <v>547</v>
      </c>
      <c r="C77" s="369" t="s">
        <v>30</v>
      </c>
      <c r="D77" s="370"/>
      <c r="E77" s="28"/>
      <c r="F77" s="199" t="s">
        <v>352</v>
      </c>
      <c r="G77" s="200">
        <f>588.39*('PPI Adj'!H6)</f>
        <v>608.39526000000001</v>
      </c>
    </row>
    <row r="78" spans="1:7" s="12" customFormat="1" ht="41.25" customHeight="1" thickBot="1" x14ac:dyDescent="0.3">
      <c r="A78" s="44" t="s">
        <v>35</v>
      </c>
      <c r="B78" s="24" t="s">
        <v>97</v>
      </c>
      <c r="C78" s="395"/>
      <c r="D78" s="396"/>
      <c r="E78" s="100"/>
      <c r="F78" s="199"/>
      <c r="G78" s="200">
        <f>288.67*('PPI Adj'!H6)</f>
        <v>298.48478</v>
      </c>
    </row>
    <row r="79" spans="1:7" s="12" customFormat="1" ht="39" thickBot="1" x14ac:dyDescent="0.3">
      <c r="A79" s="44" t="s">
        <v>36</v>
      </c>
      <c r="B79" s="24" t="s">
        <v>548</v>
      </c>
      <c r="C79" s="369" t="s">
        <v>99</v>
      </c>
      <c r="D79" s="370"/>
      <c r="E79" s="28"/>
      <c r="F79" s="199" t="s">
        <v>387</v>
      </c>
      <c r="G79" s="200">
        <f>320.74*('PPI Adj'!H6)</f>
        <v>331.64516000000003</v>
      </c>
    </row>
    <row r="80" spans="1:7" s="12" customFormat="1" ht="42.75" customHeight="1" x14ac:dyDescent="0.25">
      <c r="A80" s="343" t="s">
        <v>60</v>
      </c>
      <c r="B80" s="345" t="s">
        <v>549</v>
      </c>
      <c r="C80" s="347" t="s">
        <v>203</v>
      </c>
      <c r="D80" s="348"/>
      <c r="E80" s="28"/>
      <c r="F80" s="201" t="s">
        <v>371</v>
      </c>
      <c r="G80" s="410">
        <f>1201.12*('PPI Adj'!H6)</f>
        <v>1241.9580799999999</v>
      </c>
    </row>
    <row r="81" spans="1:7" s="12" customFormat="1" ht="30" customHeight="1" x14ac:dyDescent="0.25">
      <c r="A81" s="351"/>
      <c r="B81" s="352"/>
      <c r="C81" s="353" t="s">
        <v>550</v>
      </c>
      <c r="D81" s="354"/>
      <c r="E81" s="28"/>
      <c r="F81" s="203">
        <v>2470</v>
      </c>
      <c r="G81" s="411"/>
    </row>
    <row r="82" spans="1:7" s="12" customFormat="1" ht="15" customHeight="1" x14ac:dyDescent="0.25">
      <c r="A82" s="351"/>
      <c r="B82" s="352"/>
      <c r="C82" s="353" t="s">
        <v>114</v>
      </c>
      <c r="D82" s="354"/>
      <c r="E82" s="28"/>
      <c r="F82" s="203" t="s">
        <v>355</v>
      </c>
      <c r="G82" s="411"/>
    </row>
    <row r="83" spans="1:7" s="12" customFormat="1" ht="15.75" customHeight="1" thickBot="1" x14ac:dyDescent="0.3">
      <c r="A83" s="344"/>
      <c r="B83" s="346"/>
      <c r="C83" s="341" t="s">
        <v>115</v>
      </c>
      <c r="D83" s="342"/>
      <c r="E83" s="28"/>
      <c r="F83" s="198" t="s">
        <v>356</v>
      </c>
      <c r="G83" s="412"/>
    </row>
    <row r="84" spans="1:7" s="12" customFormat="1" ht="54.75" customHeight="1" x14ac:dyDescent="0.25">
      <c r="A84" s="343" t="s">
        <v>61</v>
      </c>
      <c r="B84" s="345" t="s">
        <v>551</v>
      </c>
      <c r="C84" s="347" t="s">
        <v>205</v>
      </c>
      <c r="D84" s="348"/>
      <c r="E84" s="28"/>
      <c r="F84" s="201" t="s">
        <v>371</v>
      </c>
      <c r="G84" s="410">
        <f>1685.54*('PPI Adj'!H6)</f>
        <v>1742.84836</v>
      </c>
    </row>
    <row r="85" spans="1:7" s="12" customFormat="1" ht="29.25" customHeight="1" x14ac:dyDescent="0.25">
      <c r="A85" s="351"/>
      <c r="B85" s="352"/>
      <c r="C85" s="353" t="s">
        <v>531</v>
      </c>
      <c r="D85" s="354"/>
      <c r="E85" s="28"/>
      <c r="F85" s="206">
        <v>2680</v>
      </c>
      <c r="G85" s="411"/>
    </row>
    <row r="86" spans="1:7" s="12" customFormat="1" ht="42.75" customHeight="1" x14ac:dyDescent="0.25">
      <c r="A86" s="351"/>
      <c r="B86" s="352"/>
      <c r="C86" s="353" t="s">
        <v>203</v>
      </c>
      <c r="D86" s="354"/>
      <c r="E86" s="28"/>
      <c r="F86" s="206" t="s">
        <v>371</v>
      </c>
      <c r="G86" s="411"/>
    </row>
    <row r="87" spans="1:7" s="12" customFormat="1" ht="29.25" customHeight="1" x14ac:dyDescent="0.25">
      <c r="A87" s="351"/>
      <c r="B87" s="352"/>
      <c r="C87" s="353" t="s">
        <v>550</v>
      </c>
      <c r="D87" s="354"/>
      <c r="E87" s="28"/>
      <c r="F87" s="203">
        <v>2470</v>
      </c>
      <c r="G87" s="411"/>
    </row>
    <row r="88" spans="1:7" s="12" customFormat="1" ht="15" customHeight="1" x14ac:dyDescent="0.25">
      <c r="A88" s="351"/>
      <c r="B88" s="352"/>
      <c r="C88" s="353" t="s">
        <v>112</v>
      </c>
      <c r="D88" s="354"/>
      <c r="E88" s="28"/>
      <c r="F88" s="203" t="s">
        <v>309</v>
      </c>
      <c r="G88" s="411"/>
    </row>
    <row r="89" spans="1:7" s="12" customFormat="1" ht="15" customHeight="1" x14ac:dyDescent="0.25">
      <c r="A89" s="351"/>
      <c r="B89" s="352"/>
      <c r="C89" s="353" t="s">
        <v>113</v>
      </c>
      <c r="D89" s="354"/>
      <c r="E89" s="28"/>
      <c r="F89" s="206" t="s">
        <v>359</v>
      </c>
      <c r="G89" s="411"/>
    </row>
    <row r="90" spans="1:7" s="12" customFormat="1" ht="15" customHeight="1" x14ac:dyDescent="0.25">
      <c r="A90" s="351"/>
      <c r="B90" s="352"/>
      <c r="C90" s="353" t="s">
        <v>114</v>
      </c>
      <c r="D90" s="354"/>
      <c r="E90" s="28"/>
      <c r="F90" s="206" t="s">
        <v>383</v>
      </c>
      <c r="G90" s="411"/>
    </row>
    <row r="91" spans="1:7" s="12" customFormat="1" ht="15.75" customHeight="1" thickBot="1" x14ac:dyDescent="0.3">
      <c r="A91" s="344"/>
      <c r="B91" s="346"/>
      <c r="C91" s="341" t="s">
        <v>115</v>
      </c>
      <c r="D91" s="342"/>
      <c r="E91" s="28"/>
      <c r="F91" s="198" t="s">
        <v>359</v>
      </c>
      <c r="G91" s="412"/>
    </row>
    <row r="92" spans="1:7" s="12" customFormat="1" ht="131.25" customHeight="1" thickBot="1" x14ac:dyDescent="0.3">
      <c r="A92" s="48" t="s">
        <v>86</v>
      </c>
      <c r="B92" s="16" t="s">
        <v>143</v>
      </c>
      <c r="C92" s="369" t="s">
        <v>104</v>
      </c>
      <c r="D92" s="370"/>
      <c r="E92" s="28"/>
      <c r="F92" s="201" t="s">
        <v>360</v>
      </c>
      <c r="G92" s="200">
        <f>946.74*('PPI Adj'!H6)</f>
        <v>978.92916000000002</v>
      </c>
    </row>
    <row r="93" spans="1:7" ht="16.5" customHeight="1" x14ac:dyDescent="0.2">
      <c r="A93" s="343" t="s">
        <v>13</v>
      </c>
      <c r="B93" s="345" t="s">
        <v>98</v>
      </c>
      <c r="C93" s="347" t="s">
        <v>30</v>
      </c>
      <c r="D93" s="348"/>
      <c r="E93" s="28"/>
      <c r="F93" s="201" t="s">
        <v>361</v>
      </c>
      <c r="G93" s="410">
        <f>11945.91*('PPI Adj'!H6)</f>
        <v>12352.07094</v>
      </c>
    </row>
    <row r="94" spans="1:7" ht="37.5" customHeight="1" thickBot="1" x14ac:dyDescent="0.25">
      <c r="A94" s="344"/>
      <c r="B94" s="346"/>
      <c r="C94" s="341" t="s">
        <v>109</v>
      </c>
      <c r="D94" s="342"/>
      <c r="E94" s="28"/>
      <c r="F94" s="198" t="s">
        <v>362</v>
      </c>
      <c r="G94" s="412"/>
    </row>
    <row r="95" spans="1:7" ht="69" customHeight="1" thickBot="1" x14ac:dyDescent="0.25">
      <c r="A95" s="44" t="s">
        <v>37</v>
      </c>
      <c r="B95" s="24" t="s">
        <v>135</v>
      </c>
      <c r="C95" s="395" t="s">
        <v>30</v>
      </c>
      <c r="D95" s="396"/>
      <c r="E95" s="100"/>
      <c r="F95" s="199" t="s">
        <v>378</v>
      </c>
      <c r="G95" s="200">
        <f>553*('PPI Adj'!H6)</f>
        <v>571.80200000000002</v>
      </c>
    </row>
    <row r="96" spans="1:7" ht="39" thickBot="1" x14ac:dyDescent="0.25">
      <c r="A96" s="44" t="s">
        <v>38</v>
      </c>
      <c r="B96" s="24" t="s">
        <v>87</v>
      </c>
      <c r="C96" s="395"/>
      <c r="D96" s="396"/>
      <c r="E96" s="100"/>
      <c r="F96" s="199"/>
      <c r="G96" s="200">
        <f>732.17*('PPI Adj'!H6)</f>
        <v>757.06377999999995</v>
      </c>
    </row>
    <row r="97" spans="1:8" ht="26.25" thickBot="1" x14ac:dyDescent="0.25">
      <c r="A97" s="44" t="s">
        <v>39</v>
      </c>
      <c r="B97" s="24" t="s">
        <v>106</v>
      </c>
      <c r="C97" s="369" t="s">
        <v>105</v>
      </c>
      <c r="D97" s="370"/>
      <c r="E97" s="28"/>
      <c r="F97" s="199" t="s">
        <v>207</v>
      </c>
      <c r="G97" s="200">
        <f>975.49*('PPI Adj'!H6)</f>
        <v>1008.65666</v>
      </c>
    </row>
    <row r="98" spans="1:8" ht="57" customHeight="1" thickBot="1" x14ac:dyDescent="0.25">
      <c r="A98" s="44" t="s">
        <v>90</v>
      </c>
      <c r="B98" s="24" t="s">
        <v>129</v>
      </c>
      <c r="C98" s="395" t="s">
        <v>552</v>
      </c>
      <c r="D98" s="396"/>
      <c r="E98" s="100"/>
      <c r="F98" s="199" t="s">
        <v>457</v>
      </c>
      <c r="G98" s="200">
        <f>436.73*('PPI Adj'!H6)</f>
        <v>451.57882000000001</v>
      </c>
    </row>
    <row r="99" spans="1:8" ht="43.5" customHeight="1" thickBot="1" x14ac:dyDescent="0.25">
      <c r="A99" s="44" t="s">
        <v>40</v>
      </c>
      <c r="B99" s="24" t="s">
        <v>137</v>
      </c>
      <c r="C99" s="369" t="s">
        <v>100</v>
      </c>
      <c r="D99" s="370"/>
      <c r="E99" s="28"/>
      <c r="F99" s="221" t="s">
        <v>363</v>
      </c>
      <c r="G99" s="200">
        <f>225.62*('PPI Adj'!H6)</f>
        <v>233.29108000000002</v>
      </c>
    </row>
    <row r="100" spans="1:8" ht="40.15" customHeight="1" thickBot="1" x14ac:dyDescent="0.25">
      <c r="A100" s="343" t="s">
        <v>14</v>
      </c>
      <c r="B100" s="345" t="s">
        <v>138</v>
      </c>
      <c r="C100" s="369" t="s">
        <v>139</v>
      </c>
      <c r="D100" s="370"/>
      <c r="E100" s="28"/>
      <c r="F100" s="206">
        <v>2</v>
      </c>
      <c r="G100" s="410">
        <f>13611.29*('PPI Adj'!H6)</f>
        <v>14074.07386</v>
      </c>
    </row>
    <row r="101" spans="1:8" ht="55.15" customHeight="1" thickBot="1" x14ac:dyDescent="0.25">
      <c r="A101" s="344"/>
      <c r="B101" s="346"/>
      <c r="C101" s="369" t="s">
        <v>274</v>
      </c>
      <c r="D101" s="370"/>
      <c r="E101" s="28"/>
      <c r="F101" s="198" t="s">
        <v>543</v>
      </c>
      <c r="G101" s="412"/>
    </row>
    <row r="102" spans="1:8" ht="69.75" customHeight="1" thickBot="1" x14ac:dyDescent="0.25">
      <c r="A102" s="44" t="s">
        <v>91</v>
      </c>
      <c r="B102" s="24" t="s">
        <v>144</v>
      </c>
      <c r="C102" s="369" t="s">
        <v>100</v>
      </c>
      <c r="D102" s="370"/>
      <c r="E102" s="28"/>
      <c r="F102" s="199" t="s">
        <v>364</v>
      </c>
      <c r="G102" s="200">
        <f>2179.93*('PPI Adj'!H6)</f>
        <v>2254.0476199999998</v>
      </c>
    </row>
    <row r="103" spans="1:8" ht="64.5" thickBot="1" x14ac:dyDescent="0.25">
      <c r="A103" s="44" t="s">
        <v>92</v>
      </c>
      <c r="B103" s="24" t="s">
        <v>145</v>
      </c>
      <c r="C103" s="395"/>
      <c r="D103" s="396"/>
      <c r="E103" s="100"/>
      <c r="F103" s="199"/>
      <c r="G103" s="200">
        <f>-2237.44*('PPI Adj'!H6)</f>
        <v>-2313.51296</v>
      </c>
    </row>
    <row r="104" spans="1:8" ht="13.5" thickBot="1" x14ac:dyDescent="0.25">
      <c r="F104" s="177"/>
      <c r="G104" s="177"/>
    </row>
    <row r="105" spans="1:8" s="15" customFormat="1" ht="18.75" customHeight="1" thickBot="1" x14ac:dyDescent="0.3">
      <c r="A105" s="70" t="s">
        <v>594</v>
      </c>
      <c r="B105" s="68"/>
      <c r="C105" s="68"/>
      <c r="D105" s="69"/>
      <c r="E105" s="99"/>
      <c r="F105" s="408" t="s">
        <v>180</v>
      </c>
      <c r="G105" s="409"/>
    </row>
    <row r="106" spans="1:8" s="15" customFormat="1" ht="34.5" customHeight="1" thickBot="1" x14ac:dyDescent="0.3">
      <c r="A106" s="426" t="s">
        <v>592</v>
      </c>
      <c r="B106" s="419"/>
      <c r="C106" s="419"/>
      <c r="D106" s="420"/>
      <c r="E106" s="103"/>
      <c r="F106" s="415" t="s">
        <v>184</v>
      </c>
      <c r="G106" s="417" t="s">
        <v>546</v>
      </c>
      <c r="H106" s="99"/>
    </row>
    <row r="107" spans="1:8" ht="26.25" customHeight="1" thickBot="1" x14ac:dyDescent="0.25">
      <c r="A107" s="104" t="s">
        <v>33</v>
      </c>
      <c r="B107" s="105" t="s">
        <v>7</v>
      </c>
      <c r="C107" s="421" t="s">
        <v>165</v>
      </c>
      <c r="D107" s="373"/>
      <c r="E107" s="33"/>
      <c r="F107" s="424"/>
      <c r="G107" s="425"/>
    </row>
    <row r="108" spans="1:8" ht="292.5" customHeight="1" thickBot="1" x14ac:dyDescent="0.25">
      <c r="A108" s="43" t="s">
        <v>85</v>
      </c>
      <c r="B108" s="106" t="s">
        <v>553</v>
      </c>
      <c r="C108" s="341" t="s">
        <v>104</v>
      </c>
      <c r="D108" s="342"/>
      <c r="E108" s="12"/>
      <c r="F108" s="199" t="s">
        <v>360</v>
      </c>
      <c r="G108" s="303">
        <f>6945.68*('PPI Adj'!H6)</f>
        <v>7181.8331200000002</v>
      </c>
    </row>
    <row r="109" spans="1:8" ht="47.25" customHeight="1" thickBot="1" x14ac:dyDescent="0.25">
      <c r="A109" s="107" t="s">
        <v>20</v>
      </c>
      <c r="B109" s="108" t="s">
        <v>593</v>
      </c>
      <c r="C109" s="109"/>
      <c r="D109" s="110"/>
      <c r="E109" s="111"/>
      <c r="F109" s="222"/>
      <c r="G109" s="303">
        <f>1755.54*('PPI Adj'!H6)</f>
        <v>1815.2283600000001</v>
      </c>
    </row>
    <row r="110" spans="1:8" ht="32.25" customHeight="1" thickBot="1" x14ac:dyDescent="0.25">
      <c r="A110" s="112" t="s">
        <v>82</v>
      </c>
      <c r="B110" s="14" t="s">
        <v>130</v>
      </c>
      <c r="C110" s="422"/>
      <c r="D110" s="423"/>
      <c r="E110" s="100"/>
      <c r="F110" s="198"/>
      <c r="G110" s="303">
        <f>1117.06*('PPI Adj'!H6)</f>
        <v>1155.0400400000001</v>
      </c>
    </row>
    <row r="111" spans="1:8" ht="39" thickBot="1" x14ac:dyDescent="0.25">
      <c r="A111" s="44" t="s">
        <v>272</v>
      </c>
      <c r="B111" s="24" t="s">
        <v>554</v>
      </c>
      <c r="C111" s="113"/>
      <c r="D111" s="114"/>
      <c r="E111" s="28"/>
      <c r="F111" s="199"/>
      <c r="G111" s="200"/>
    </row>
    <row r="112" spans="1:8" x14ac:dyDescent="0.2">
      <c r="E112" s="2"/>
      <c r="F112" s="9"/>
    </row>
    <row r="113" spans="5:5" x14ac:dyDescent="0.2">
      <c r="E113" s="2"/>
    </row>
    <row r="114" spans="5:5" x14ac:dyDescent="0.2">
      <c r="E114" s="2"/>
    </row>
  </sheetData>
  <sheetProtection algorithmName="SHA-512" hashValue="rHnuIPKcULzyuM/KzAVaCeRb4V5ppjEnYfOrUd2BbyHYOfwtgYpr2/ToUNoLawY1EaMd20Eq9QS6GMGJyzzFdg==" saltValue="Erx4hos2lqCksRYWuFZrHA==" spinCount="100000" sheet="1" objects="1" scenarios="1"/>
  <dataConsolidate/>
  <mergeCells count="123">
    <mergeCell ref="C107:D107"/>
    <mergeCell ref="C108:D108"/>
    <mergeCell ref="C110:D110"/>
    <mergeCell ref="C101:D101"/>
    <mergeCell ref="C102:D102"/>
    <mergeCell ref="C103:D103"/>
    <mergeCell ref="F105:G105"/>
    <mergeCell ref="F106:F107"/>
    <mergeCell ref="G106:G107"/>
    <mergeCell ref="A106:D106"/>
    <mergeCell ref="C98:D98"/>
    <mergeCell ref="C99:D99"/>
    <mergeCell ref="A100:A101"/>
    <mergeCell ref="B100:B101"/>
    <mergeCell ref="C100:D100"/>
    <mergeCell ref="G100:G101"/>
    <mergeCell ref="C94:D94"/>
    <mergeCell ref="C95:D95"/>
    <mergeCell ref="C96:D96"/>
    <mergeCell ref="C97:D97"/>
    <mergeCell ref="A84:A91"/>
    <mergeCell ref="B84:B91"/>
    <mergeCell ref="C84:D84"/>
    <mergeCell ref="G84:G91"/>
    <mergeCell ref="C92:D92"/>
    <mergeCell ref="A93:A94"/>
    <mergeCell ref="B93:B94"/>
    <mergeCell ref="C93:D93"/>
    <mergeCell ref="G93:G94"/>
    <mergeCell ref="C85:D85"/>
    <mergeCell ref="C86:D86"/>
    <mergeCell ref="C87:D87"/>
    <mergeCell ref="C88:D88"/>
    <mergeCell ref="C89:D89"/>
    <mergeCell ref="C90:D90"/>
    <mergeCell ref="C91:D91"/>
    <mergeCell ref="C79:D79"/>
    <mergeCell ref="A80:A83"/>
    <mergeCell ref="B80:B83"/>
    <mergeCell ref="C80:D80"/>
    <mergeCell ref="G80:G83"/>
    <mergeCell ref="C75:D75"/>
    <mergeCell ref="C76:D76"/>
    <mergeCell ref="C77:D77"/>
    <mergeCell ref="C78:D78"/>
    <mergeCell ref="C81:D81"/>
    <mergeCell ref="C82:D82"/>
    <mergeCell ref="C83:D83"/>
    <mergeCell ref="F74:F75"/>
    <mergeCell ref="G74:G75"/>
    <mergeCell ref="A74:D74"/>
    <mergeCell ref="C69:D69"/>
    <mergeCell ref="C70:D70"/>
    <mergeCell ref="C71:D71"/>
    <mergeCell ref="C63:D63"/>
    <mergeCell ref="C64:D64"/>
    <mergeCell ref="C65:D65"/>
    <mergeCell ref="C66:D66"/>
    <mergeCell ref="C67:D67"/>
    <mergeCell ref="C68:D68"/>
    <mergeCell ref="C57:D57"/>
    <mergeCell ref="C58:D58"/>
    <mergeCell ref="C59:D59"/>
    <mergeCell ref="C60:D60"/>
    <mergeCell ref="C61:D61"/>
    <mergeCell ref="C62:D62"/>
    <mergeCell ref="C53:D53"/>
    <mergeCell ref="A54:A56"/>
    <mergeCell ref="B54:B56"/>
    <mergeCell ref="C54:D54"/>
    <mergeCell ref="C55:D55"/>
    <mergeCell ref="C56:D56"/>
    <mergeCell ref="F73:G73"/>
    <mergeCell ref="C27:D27"/>
    <mergeCell ref="C28:D28"/>
    <mergeCell ref="A29:A30"/>
    <mergeCell ref="B29:B30"/>
    <mergeCell ref="C29:D29"/>
    <mergeCell ref="C30:D30"/>
    <mergeCell ref="C31:D31"/>
    <mergeCell ref="A32:A36"/>
    <mergeCell ref="B32:B36"/>
    <mergeCell ref="C32:D32"/>
    <mergeCell ref="C33:D33"/>
    <mergeCell ref="C34:D34"/>
    <mergeCell ref="C35:D35"/>
    <mergeCell ref="C36:D36"/>
    <mergeCell ref="A37:A38"/>
    <mergeCell ref="B37:B38"/>
    <mergeCell ref="C37:D37"/>
    <mergeCell ref="C38:D38"/>
    <mergeCell ref="A39:A40"/>
    <mergeCell ref="B39:B40"/>
    <mergeCell ref="C39:D39"/>
    <mergeCell ref="B42:B49"/>
    <mergeCell ref="C42:D42"/>
    <mergeCell ref="A3:D3"/>
    <mergeCell ref="A4:D4"/>
    <mergeCell ref="A5:D5"/>
    <mergeCell ref="B9:D9"/>
    <mergeCell ref="B10:D10"/>
    <mergeCell ref="B11:D11"/>
    <mergeCell ref="B12:D12"/>
    <mergeCell ref="B13:D13"/>
    <mergeCell ref="B23:D23"/>
    <mergeCell ref="B24:D24"/>
    <mergeCell ref="B18:D18"/>
    <mergeCell ref="B19:D19"/>
    <mergeCell ref="C40:D40"/>
    <mergeCell ref="C48:D48"/>
    <mergeCell ref="C49:D49"/>
    <mergeCell ref="A50:A52"/>
    <mergeCell ref="B50:B52"/>
    <mergeCell ref="C50:D50"/>
    <mergeCell ref="C51:D51"/>
    <mergeCell ref="C52:D52"/>
    <mergeCell ref="C41:D41"/>
    <mergeCell ref="A42:A49"/>
    <mergeCell ref="C43:D43"/>
    <mergeCell ref="C44:D44"/>
    <mergeCell ref="C45:D45"/>
    <mergeCell ref="C46:D46"/>
    <mergeCell ref="C47:D47"/>
  </mergeCells>
  <conditionalFormatting sqref="C28:E69 F28:F71 C70 C71:E71 C76:E97 F76:G99 C98 C99:E100 C101 F101 C102:G103 C108:F108 C110:G111">
    <cfRule type="expression" dxfId="146" priority="13">
      <formula>#REF!="NO"</formula>
    </cfRule>
  </conditionalFormatting>
  <conditionalFormatting sqref="F8:F19">
    <cfRule type="expression" dxfId="145" priority="11">
      <formula>#REF!="NO"</formula>
    </cfRule>
  </conditionalFormatting>
  <conditionalFormatting sqref="F23:F24">
    <cfRule type="expression" dxfId="144" priority="9">
      <formula>#REF!="NO"</formula>
    </cfRule>
  </conditionalFormatting>
  <conditionalFormatting sqref="F109">
    <cfRule type="expression" dxfId="143" priority="3">
      <formula>#REF!="NO"</formula>
    </cfRule>
  </conditionalFormatting>
  <conditionalFormatting sqref="G108:G109">
    <cfRule type="expression" dxfId="142" priority="2">
      <formula>#REF!="NO"</formula>
    </cfRule>
  </conditionalFormatting>
  <dataValidations count="3">
    <dataValidation type="decimal" allowBlank="1" showInputMessage="1" showErrorMessage="1" error="Invalid Entry - Bidder must enter a value that is greater than $0" sqref="F23" xr:uid="{3870FA1A-850E-4B47-B1FC-7C4F621174C3}">
      <formula1>0</formula1>
      <formula2>9E+21</formula2>
    </dataValidation>
    <dataValidation type="decimal" allowBlank="1" showInputMessage="1" showErrorMessage="1" error="The Additional Options NYS Discount entered must be greater than 0%, or less than or equal to 100%." sqref="F24" xr:uid="{35FB15FE-B50A-4373-8D89-88CA9BB99811}">
      <formula1>0.01</formula1>
      <formula2>100</formula2>
    </dataValidation>
    <dataValidation type="decimal" operator="greaterThanOrEqual" allowBlank="1" showInputMessage="1" showErrorMessage="1" error="The Pickup Allowance cannot be a negative number." sqref="F18" xr:uid="{1C165BE4-AC62-4659-9A70-FDEC09068C49}">
      <formula1>0</formula1>
    </dataValidation>
  </dataValidations>
  <pageMargins left="0.25" right="0.25" top="0.75" bottom="0.25" header="0.3" footer="0.3"/>
  <pageSetup scale="56"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CC66FF"/>
    <pageSetUpPr autoPageBreaks="0" fitToPage="1"/>
  </sheetPr>
  <dimension ref="A1:H130"/>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2" style="5" customWidth="1"/>
    <col min="7" max="7" width="2.7109375" style="2" customWidth="1"/>
    <col min="8" max="16384" width="9.140625" style="2"/>
  </cols>
  <sheetData>
    <row r="1" spans="1:8" ht="18" customHeight="1" x14ac:dyDescent="0.2">
      <c r="A1" s="245" t="str">
        <f>'A (Item 2-G)'!$A$1</f>
        <v>GROUP 40524-23254, SCHOOL BUSES (Statewide)                                                             Attachment 1 - Specifications and Pricing (Revised October 15, 2026)</v>
      </c>
      <c r="F1" s="2"/>
    </row>
    <row r="2" spans="1:8" s="19" customFormat="1" ht="18" customHeight="1" thickBot="1" x14ac:dyDescent="0.3">
      <c r="A2" s="305" t="str">
        <f>'Attachment 1 - Summary'!B2</f>
        <v>PC69862 Matthews Buses, Inc.</v>
      </c>
      <c r="B2" s="20"/>
      <c r="C2" s="20"/>
      <c r="D2" s="20"/>
      <c r="E2" s="20"/>
      <c r="F2" s="20"/>
      <c r="G2" s="20"/>
      <c r="H2" s="20"/>
    </row>
    <row r="3" spans="1:8" ht="24" thickBot="1" x14ac:dyDescent="0.25">
      <c r="A3" s="326" t="s">
        <v>171</v>
      </c>
      <c r="B3" s="327"/>
      <c r="C3" s="327"/>
      <c r="D3" s="328"/>
      <c r="E3" s="8"/>
      <c r="F3" s="8"/>
      <c r="G3" s="8"/>
    </row>
    <row r="4" spans="1:8" ht="51" customHeight="1" thickBot="1" x14ac:dyDescent="0.25">
      <c r="A4" s="329" t="s">
        <v>172</v>
      </c>
      <c r="B4" s="330"/>
      <c r="C4" s="330"/>
      <c r="D4" s="331"/>
      <c r="E4" s="8"/>
      <c r="F4" s="8"/>
      <c r="G4" s="8"/>
    </row>
    <row r="5" spans="1:8" s="4" customFormat="1" ht="11.25" customHeight="1" thickBot="1" x14ac:dyDescent="0.3">
      <c r="A5" s="332"/>
      <c r="B5" s="333"/>
      <c r="C5" s="333"/>
      <c r="D5" s="334"/>
      <c r="E5" s="334"/>
      <c r="F5" s="334"/>
      <c r="G5" s="51"/>
    </row>
    <row r="6" spans="1:8" s="7" customFormat="1" ht="32.25" thickBot="1" x14ac:dyDescent="0.25">
      <c r="A6" s="335" t="s">
        <v>151</v>
      </c>
      <c r="B6" s="336"/>
      <c r="C6" s="336"/>
      <c r="D6" s="337"/>
      <c r="E6" s="30"/>
      <c r="F6" s="208" t="s">
        <v>332</v>
      </c>
      <c r="G6" s="30"/>
    </row>
    <row r="7" spans="1:8" s="4" customFormat="1" ht="15" customHeight="1" thickBot="1" x14ac:dyDescent="0.3">
      <c r="A7" s="35" t="s">
        <v>6</v>
      </c>
      <c r="B7" s="21" t="s">
        <v>165</v>
      </c>
      <c r="C7" s="26"/>
      <c r="D7" s="34"/>
      <c r="E7" s="31"/>
      <c r="F7" s="246" t="s">
        <v>17</v>
      </c>
      <c r="G7" s="31"/>
    </row>
    <row r="8" spans="1:8" ht="52.5" thickTop="1" thickBot="1" x14ac:dyDescent="0.25">
      <c r="A8" s="36" t="s">
        <v>9</v>
      </c>
      <c r="B8" s="323" t="s">
        <v>152</v>
      </c>
      <c r="C8" s="324"/>
      <c r="D8" s="325"/>
      <c r="E8" s="12"/>
      <c r="F8" s="178" t="s">
        <v>381</v>
      </c>
      <c r="G8" s="12"/>
    </row>
    <row r="9" spans="1:8" s="7" customFormat="1" ht="44.25" customHeight="1" thickTop="1" thickBot="1" x14ac:dyDescent="0.25">
      <c r="A9" s="36" t="s">
        <v>136</v>
      </c>
      <c r="B9" s="323" t="s">
        <v>191</v>
      </c>
      <c r="C9" s="324"/>
      <c r="D9" s="325"/>
      <c r="E9" s="12"/>
      <c r="F9" s="178" t="s">
        <v>382</v>
      </c>
      <c r="G9" s="12"/>
    </row>
    <row r="10" spans="1:8" ht="12.75" customHeight="1" thickTop="1" x14ac:dyDescent="0.2">
      <c r="A10" s="37" t="s">
        <v>0</v>
      </c>
      <c r="B10" s="314" t="s">
        <v>154</v>
      </c>
      <c r="C10" s="315"/>
      <c r="D10" s="316"/>
      <c r="E10" s="12"/>
      <c r="F10" s="180" t="s">
        <v>305</v>
      </c>
      <c r="G10" s="12"/>
    </row>
    <row r="11" spans="1:8" x14ac:dyDescent="0.2">
      <c r="A11" s="37" t="s">
        <v>1</v>
      </c>
      <c r="B11" s="314" t="s">
        <v>153</v>
      </c>
      <c r="C11" s="315"/>
      <c r="D11" s="316"/>
      <c r="E11" s="12"/>
      <c r="F11" s="180">
        <v>3500</v>
      </c>
      <c r="G11" s="12"/>
    </row>
    <row r="12" spans="1:8" ht="12.75" customHeight="1" thickBot="1" x14ac:dyDescent="0.25">
      <c r="A12" s="38" t="s">
        <v>2</v>
      </c>
      <c r="B12" s="317" t="s">
        <v>155</v>
      </c>
      <c r="C12" s="318"/>
      <c r="D12" s="319"/>
      <c r="E12" s="12"/>
      <c r="F12" s="181" t="s">
        <v>336</v>
      </c>
      <c r="G12" s="12"/>
    </row>
    <row r="13" spans="1:8" ht="13.5" thickTop="1" x14ac:dyDescent="0.2">
      <c r="A13" s="37" t="s">
        <v>3</v>
      </c>
      <c r="B13" s="314" t="s">
        <v>157</v>
      </c>
      <c r="C13" s="315"/>
      <c r="D13" s="316"/>
      <c r="E13" s="12"/>
      <c r="F13" s="180" t="s">
        <v>337</v>
      </c>
      <c r="G13" s="12"/>
    </row>
    <row r="14" spans="1:8" x14ac:dyDescent="0.2">
      <c r="A14" s="37" t="s">
        <v>4</v>
      </c>
      <c r="B14" s="314" t="s">
        <v>156</v>
      </c>
      <c r="C14" s="315"/>
      <c r="D14" s="316"/>
      <c r="E14" s="12"/>
      <c r="F14" s="180" t="s">
        <v>338</v>
      </c>
      <c r="G14" s="12"/>
    </row>
    <row r="15" spans="1:8" ht="15.75" customHeight="1" thickBot="1" x14ac:dyDescent="0.25">
      <c r="A15" s="39" t="s">
        <v>5</v>
      </c>
      <c r="B15" s="317" t="s">
        <v>158</v>
      </c>
      <c r="C15" s="318"/>
      <c r="D15" s="319"/>
      <c r="E15" s="12"/>
      <c r="F15" s="182" t="s">
        <v>368</v>
      </c>
      <c r="G15" s="12"/>
    </row>
    <row r="16" spans="1:8" ht="29.25" customHeight="1" thickTop="1" x14ac:dyDescent="0.2">
      <c r="A16" s="37" t="s">
        <v>101</v>
      </c>
      <c r="B16" s="320" t="s">
        <v>160</v>
      </c>
      <c r="C16" s="321"/>
      <c r="D16" s="322"/>
      <c r="E16" s="12"/>
      <c r="F16" s="183">
        <v>100</v>
      </c>
      <c r="G16" s="12"/>
    </row>
    <row r="17" spans="1:7" ht="30.75" customHeight="1" thickBot="1" x14ac:dyDescent="0.25">
      <c r="A17" s="39" t="s">
        <v>43</v>
      </c>
      <c r="B17" s="317" t="s">
        <v>159</v>
      </c>
      <c r="C17" s="318"/>
      <c r="D17" s="319"/>
      <c r="E17" s="12"/>
      <c r="F17" s="182" t="s">
        <v>369</v>
      </c>
      <c r="G17" s="12"/>
    </row>
    <row r="18" spans="1:7" s="9" customFormat="1" ht="14.25" thickTop="1" thickBot="1" x14ac:dyDescent="0.25">
      <c r="C18" s="10"/>
      <c r="D18" s="10"/>
      <c r="E18" s="10"/>
      <c r="F18" s="185"/>
      <c r="G18" s="10"/>
    </row>
    <row r="19" spans="1:7" s="11" customFormat="1" ht="32.25" thickBot="1" x14ac:dyDescent="0.25">
      <c r="A19" s="335" t="s">
        <v>150</v>
      </c>
      <c r="B19" s="336"/>
      <c r="C19" s="336"/>
      <c r="D19" s="337"/>
      <c r="E19" s="30"/>
      <c r="F19" s="208" t="s">
        <v>332</v>
      </c>
      <c r="G19" s="30"/>
    </row>
    <row r="20" spans="1:7" s="4" customFormat="1" ht="15" customHeight="1" thickBot="1" x14ac:dyDescent="0.3">
      <c r="A20" s="49" t="s">
        <v>6</v>
      </c>
      <c r="B20" s="25" t="s">
        <v>165</v>
      </c>
      <c r="C20" s="27"/>
      <c r="D20" s="42"/>
      <c r="E20" s="31"/>
      <c r="F20" s="246" t="s">
        <v>17</v>
      </c>
      <c r="G20" s="31"/>
    </row>
    <row r="21" spans="1:7" ht="56.25" customHeight="1" x14ac:dyDescent="0.2">
      <c r="A21" s="40" t="s">
        <v>42</v>
      </c>
      <c r="B21" s="338" t="s">
        <v>161</v>
      </c>
      <c r="C21" s="339"/>
      <c r="D21" s="340"/>
      <c r="E21" s="12"/>
      <c r="F21" s="247">
        <f>67935.09*('PPI Adj'!D6)</f>
        <v>79280.250029999996</v>
      </c>
      <c r="G21" s="12"/>
    </row>
    <row r="22" spans="1:7" ht="42.75" customHeight="1" x14ac:dyDescent="0.2">
      <c r="A22" s="37" t="s">
        <v>20</v>
      </c>
      <c r="B22" s="314" t="s">
        <v>162</v>
      </c>
      <c r="C22" s="315"/>
      <c r="D22" s="316"/>
      <c r="E22" s="12"/>
      <c r="F22" s="247">
        <f>1641*('PPI Adj'!D6)</f>
        <v>1915.047</v>
      </c>
      <c r="G22" s="12"/>
    </row>
    <row r="23" spans="1:7" ht="33" customHeight="1" thickBot="1" x14ac:dyDescent="0.25">
      <c r="A23" s="41" t="s">
        <v>41</v>
      </c>
      <c r="B23" s="359" t="s">
        <v>163</v>
      </c>
      <c r="C23" s="360"/>
      <c r="D23" s="361"/>
      <c r="E23" s="1"/>
      <c r="F23" s="188">
        <v>20</v>
      </c>
      <c r="G23" s="1"/>
    </row>
    <row r="24" spans="1:7" ht="13.5" thickBot="1" x14ac:dyDescent="0.25">
      <c r="A24" s="52"/>
      <c r="B24" s="1"/>
      <c r="C24" s="1"/>
      <c r="D24" s="1"/>
      <c r="E24" s="1"/>
      <c r="F24" s="249"/>
      <c r="G24" s="1"/>
    </row>
    <row r="25" spans="1:7" s="7" customFormat="1" ht="32.25" thickBot="1" x14ac:dyDescent="0.25">
      <c r="A25" s="362" t="s">
        <v>164</v>
      </c>
      <c r="B25" s="363"/>
      <c r="C25" s="363"/>
      <c r="D25" s="364"/>
      <c r="E25" s="32"/>
      <c r="F25" s="208" t="s">
        <v>332</v>
      </c>
      <c r="G25" s="32"/>
    </row>
    <row r="26" spans="1:7" s="3" customFormat="1" ht="30" customHeight="1" thickBot="1" x14ac:dyDescent="0.3">
      <c r="A26" s="49" t="s">
        <v>6</v>
      </c>
      <c r="B26" s="50" t="s">
        <v>7</v>
      </c>
      <c r="C26" s="365" t="s">
        <v>165</v>
      </c>
      <c r="D26" s="366"/>
      <c r="E26" s="33"/>
      <c r="F26" s="246" t="s">
        <v>17</v>
      </c>
      <c r="G26" s="33"/>
    </row>
    <row r="27" spans="1:7" s="12" customFormat="1" ht="39" thickBot="1" x14ac:dyDescent="0.3">
      <c r="A27" s="43" t="s">
        <v>8</v>
      </c>
      <c r="B27" s="23" t="s">
        <v>131</v>
      </c>
      <c r="C27" s="341" t="s">
        <v>118</v>
      </c>
      <c r="D27" s="342"/>
      <c r="E27" s="28"/>
      <c r="F27" s="193">
        <v>12300</v>
      </c>
      <c r="G27" s="28"/>
    </row>
    <row r="28" spans="1:7" s="12" customFormat="1" x14ac:dyDescent="0.25">
      <c r="A28" s="343" t="s">
        <v>21</v>
      </c>
      <c r="B28" s="345" t="s">
        <v>173</v>
      </c>
      <c r="C28" s="347" t="s">
        <v>67</v>
      </c>
      <c r="D28" s="348"/>
      <c r="E28" s="28"/>
      <c r="F28" s="192">
        <v>4</v>
      </c>
      <c r="G28" s="28"/>
    </row>
    <row r="29" spans="1:7" s="12" customFormat="1" ht="13.5" thickBot="1" x14ac:dyDescent="0.3">
      <c r="A29" s="344"/>
      <c r="B29" s="346"/>
      <c r="C29" s="341" t="s">
        <v>68</v>
      </c>
      <c r="D29" s="342"/>
      <c r="E29" s="28"/>
      <c r="F29" s="184">
        <v>24</v>
      </c>
      <c r="G29" s="28"/>
    </row>
    <row r="30" spans="1:7" s="12" customFormat="1" ht="13.5" thickBot="1" x14ac:dyDescent="0.3">
      <c r="A30" s="44" t="s">
        <v>123</v>
      </c>
      <c r="B30" s="24" t="s">
        <v>108</v>
      </c>
      <c r="C30" s="357"/>
      <c r="D30" s="358"/>
      <c r="E30" s="29"/>
      <c r="F30" s="193"/>
      <c r="G30" s="29"/>
    </row>
    <row r="31" spans="1:7" s="12" customFormat="1" x14ac:dyDescent="0.25">
      <c r="A31" s="343" t="s">
        <v>59</v>
      </c>
      <c r="B31" s="345"/>
      <c r="C31" s="347" t="s">
        <v>58</v>
      </c>
      <c r="D31" s="348"/>
      <c r="E31" s="28"/>
      <c r="F31" s="192">
        <v>139</v>
      </c>
      <c r="G31" s="28"/>
    </row>
    <row r="32" spans="1:7" s="12" customFormat="1" x14ac:dyDescent="0.25">
      <c r="A32" s="351"/>
      <c r="B32" s="352"/>
      <c r="C32" s="353" t="s">
        <v>57</v>
      </c>
      <c r="D32" s="354"/>
      <c r="E32" s="28"/>
      <c r="F32" s="180">
        <v>237.8</v>
      </c>
      <c r="G32" s="28"/>
    </row>
    <row r="33" spans="1:7" s="12" customFormat="1" x14ac:dyDescent="0.25">
      <c r="A33" s="351"/>
      <c r="B33" s="352"/>
      <c r="C33" s="353" t="s">
        <v>69</v>
      </c>
      <c r="D33" s="354"/>
      <c r="E33" s="28"/>
      <c r="F33" s="180">
        <v>90</v>
      </c>
      <c r="G33" s="28"/>
    </row>
    <row r="34" spans="1:7" s="12" customFormat="1" x14ac:dyDescent="0.25">
      <c r="A34" s="351"/>
      <c r="B34" s="352"/>
      <c r="C34" s="355" t="s">
        <v>70</v>
      </c>
      <c r="D34" s="356"/>
      <c r="E34" s="28"/>
      <c r="F34" s="180">
        <v>73</v>
      </c>
      <c r="G34" s="28"/>
    </row>
    <row r="35" spans="1:7" s="12" customFormat="1" ht="13.5" thickBot="1" x14ac:dyDescent="0.3">
      <c r="A35" s="344"/>
      <c r="B35" s="346"/>
      <c r="C35" s="341" t="s">
        <v>111</v>
      </c>
      <c r="D35" s="342"/>
      <c r="E35" s="28"/>
      <c r="F35" s="184">
        <v>74</v>
      </c>
      <c r="G35" s="28"/>
    </row>
    <row r="36" spans="1:7" s="12" customFormat="1" x14ac:dyDescent="0.25">
      <c r="A36" s="343" t="s">
        <v>11</v>
      </c>
      <c r="B36" s="345"/>
      <c r="C36" s="347" t="s">
        <v>24</v>
      </c>
      <c r="D36" s="348"/>
      <c r="E36" s="28"/>
      <c r="F36" s="192">
        <v>4300</v>
      </c>
      <c r="G36" s="28"/>
    </row>
    <row r="37" spans="1:7" s="12" customFormat="1" ht="13.5" thickBot="1" x14ac:dyDescent="0.3">
      <c r="A37" s="344"/>
      <c r="B37" s="346"/>
      <c r="C37" s="341" t="s">
        <v>22</v>
      </c>
      <c r="D37" s="342"/>
      <c r="E37" s="28"/>
      <c r="F37" s="184">
        <v>4300</v>
      </c>
      <c r="G37" s="28"/>
    </row>
    <row r="38" spans="1:7" s="12" customFormat="1" x14ac:dyDescent="0.25">
      <c r="A38" s="343" t="s">
        <v>16</v>
      </c>
      <c r="B38" s="345"/>
      <c r="C38" s="347" t="s">
        <v>24</v>
      </c>
      <c r="D38" s="348"/>
      <c r="E38" s="28"/>
      <c r="F38" s="192">
        <v>8600</v>
      </c>
      <c r="G38" s="28"/>
    </row>
    <row r="39" spans="1:7" s="12" customFormat="1" ht="13.5" thickBot="1" x14ac:dyDescent="0.3">
      <c r="A39" s="344"/>
      <c r="B39" s="346"/>
      <c r="C39" s="349" t="s">
        <v>23</v>
      </c>
      <c r="D39" s="350"/>
      <c r="E39" s="28"/>
      <c r="F39" s="184">
        <v>8600</v>
      </c>
      <c r="G39" s="28"/>
    </row>
    <row r="40" spans="1:7" s="12" customFormat="1" ht="13.5" thickBot="1" x14ac:dyDescent="0.3">
      <c r="A40" s="44" t="s">
        <v>52</v>
      </c>
      <c r="B40" s="24" t="s">
        <v>53</v>
      </c>
      <c r="C40" s="357"/>
      <c r="D40" s="358"/>
      <c r="E40" s="29"/>
      <c r="F40" s="193"/>
      <c r="G40" s="29"/>
    </row>
    <row r="41" spans="1:7" s="12" customFormat="1" ht="13.5" customHeight="1" thickBot="1" x14ac:dyDescent="0.3">
      <c r="A41" s="367" t="s">
        <v>12</v>
      </c>
      <c r="B41" s="368" t="s">
        <v>142</v>
      </c>
      <c r="C41" s="347" t="s">
        <v>174</v>
      </c>
      <c r="D41" s="348"/>
      <c r="E41" s="28"/>
      <c r="F41" s="192" t="s">
        <v>371</v>
      </c>
      <c r="G41" s="28"/>
    </row>
    <row r="42" spans="1:7" s="12" customFormat="1" ht="13.5" customHeight="1" thickBot="1" x14ac:dyDescent="0.3">
      <c r="A42" s="367"/>
      <c r="B42" s="368"/>
      <c r="C42" s="353" t="s">
        <v>175</v>
      </c>
      <c r="D42" s="354"/>
      <c r="E42" s="28"/>
      <c r="F42" s="180">
        <v>2680</v>
      </c>
      <c r="G42" s="28"/>
    </row>
    <row r="43" spans="1:7" s="12" customFormat="1" ht="13.5" customHeight="1" thickBot="1" x14ac:dyDescent="0.3">
      <c r="A43" s="367"/>
      <c r="B43" s="368"/>
      <c r="C43" s="353" t="s">
        <v>176</v>
      </c>
      <c r="D43" s="354"/>
      <c r="E43" s="28"/>
      <c r="F43" s="209" t="s">
        <v>371</v>
      </c>
      <c r="G43" s="28"/>
    </row>
    <row r="44" spans="1:7" s="12" customFormat="1" ht="13.5" customHeight="1" thickBot="1" x14ac:dyDescent="0.3">
      <c r="A44" s="367"/>
      <c r="B44" s="368"/>
      <c r="C44" s="353" t="s">
        <v>177</v>
      </c>
      <c r="D44" s="354"/>
      <c r="E44" s="28"/>
      <c r="F44" s="180">
        <v>2470</v>
      </c>
      <c r="G44" s="28"/>
    </row>
    <row r="45" spans="1:7" s="12" customFormat="1" ht="13.5" customHeight="1" thickBot="1" x14ac:dyDescent="0.3">
      <c r="A45" s="367"/>
      <c r="B45" s="368"/>
      <c r="C45" s="353" t="s">
        <v>112</v>
      </c>
      <c r="D45" s="354"/>
      <c r="E45" s="28"/>
      <c r="F45" s="180" t="s">
        <v>309</v>
      </c>
      <c r="G45" s="28"/>
    </row>
    <row r="46" spans="1:7" s="12" customFormat="1" ht="13.5" customHeight="1" thickBot="1" x14ac:dyDescent="0.3">
      <c r="A46" s="367"/>
      <c r="B46" s="368"/>
      <c r="C46" s="353" t="s">
        <v>113</v>
      </c>
      <c r="D46" s="354"/>
      <c r="E46" s="28"/>
      <c r="F46" s="180" t="s">
        <v>343</v>
      </c>
      <c r="G46" s="28"/>
    </row>
    <row r="47" spans="1:7" s="12" customFormat="1" ht="13.5" customHeight="1" thickBot="1" x14ac:dyDescent="0.3">
      <c r="A47" s="367"/>
      <c r="B47" s="368"/>
      <c r="C47" s="355" t="s">
        <v>114</v>
      </c>
      <c r="D47" s="356"/>
      <c r="E47" s="28"/>
      <c r="F47" s="180" t="s">
        <v>383</v>
      </c>
      <c r="G47" s="28"/>
    </row>
    <row r="48" spans="1:7" s="12" customFormat="1" ht="13.5" customHeight="1" thickBot="1" x14ac:dyDescent="0.3">
      <c r="A48" s="367"/>
      <c r="B48" s="368"/>
      <c r="C48" s="341" t="s">
        <v>115</v>
      </c>
      <c r="D48" s="342"/>
      <c r="E48" s="28"/>
      <c r="F48" s="184" t="s">
        <v>343</v>
      </c>
      <c r="G48" s="28"/>
    </row>
    <row r="49" spans="1:7" s="12" customFormat="1" x14ac:dyDescent="0.25">
      <c r="A49" s="343" t="s">
        <v>10</v>
      </c>
      <c r="B49" s="345" t="s">
        <v>62</v>
      </c>
      <c r="C49" s="347" t="s">
        <v>116</v>
      </c>
      <c r="D49" s="348"/>
      <c r="E49" s="28"/>
      <c r="F49" s="192">
        <v>6</v>
      </c>
      <c r="G49" s="28"/>
    </row>
    <row r="50" spans="1:7" s="12" customFormat="1" x14ac:dyDescent="0.25">
      <c r="A50" s="351"/>
      <c r="B50" s="352"/>
      <c r="C50" s="353" t="s">
        <v>117</v>
      </c>
      <c r="D50" s="354"/>
      <c r="E50" s="28"/>
      <c r="F50" s="180" t="s">
        <v>344</v>
      </c>
      <c r="G50" s="28"/>
    </row>
    <row r="51" spans="1:7" s="12" customFormat="1" ht="13.5" thickBot="1" x14ac:dyDescent="0.3">
      <c r="A51" s="351"/>
      <c r="B51" s="352"/>
      <c r="C51" s="349" t="s">
        <v>71</v>
      </c>
      <c r="D51" s="350"/>
      <c r="E51" s="28"/>
      <c r="F51" s="179" t="s">
        <v>384</v>
      </c>
      <c r="G51" s="28"/>
    </row>
    <row r="52" spans="1:7" s="12" customFormat="1" ht="78" customHeight="1" thickBot="1" x14ac:dyDescent="0.3">
      <c r="A52" s="45" t="s">
        <v>9</v>
      </c>
      <c r="B52" s="22" t="s">
        <v>140</v>
      </c>
      <c r="C52" s="355"/>
      <c r="D52" s="356"/>
      <c r="E52" s="28"/>
      <c r="F52" s="192"/>
      <c r="G52" s="28"/>
    </row>
    <row r="53" spans="1:7" s="12" customFormat="1" x14ac:dyDescent="0.25">
      <c r="A53" s="343" t="s">
        <v>25</v>
      </c>
      <c r="B53" s="345" t="s">
        <v>93</v>
      </c>
      <c r="C53" s="347" t="s">
        <v>72</v>
      </c>
      <c r="D53" s="348"/>
      <c r="E53" s="28"/>
      <c r="F53" s="192" t="s">
        <v>346</v>
      </c>
      <c r="G53" s="28"/>
    </row>
    <row r="54" spans="1:7" s="12" customFormat="1" ht="68.099999999999994" customHeight="1" thickBot="1" x14ac:dyDescent="0.3">
      <c r="A54" s="344"/>
      <c r="B54" s="346"/>
      <c r="C54" s="341" t="s">
        <v>73</v>
      </c>
      <c r="D54" s="342"/>
      <c r="E54" s="28"/>
      <c r="F54" s="184">
        <v>220</v>
      </c>
      <c r="G54" s="28"/>
    </row>
    <row r="55" spans="1:7" s="12" customFormat="1" x14ac:dyDescent="0.25">
      <c r="A55" s="343" t="s">
        <v>26</v>
      </c>
      <c r="B55" s="345"/>
      <c r="C55" s="347" t="s">
        <v>74</v>
      </c>
      <c r="D55" s="348"/>
      <c r="E55" s="28"/>
      <c r="F55" s="192" t="s">
        <v>385</v>
      </c>
      <c r="G55" s="28"/>
    </row>
    <row r="56" spans="1:7" s="12" customFormat="1" x14ac:dyDescent="0.25">
      <c r="A56" s="351"/>
      <c r="B56" s="352"/>
      <c r="C56" s="353" t="s">
        <v>75</v>
      </c>
      <c r="D56" s="354"/>
      <c r="E56" s="28"/>
      <c r="F56" s="180">
        <v>2</v>
      </c>
      <c r="G56" s="28"/>
    </row>
    <row r="57" spans="1:7" s="12" customFormat="1" ht="13.5" thickBot="1" x14ac:dyDescent="0.3">
      <c r="A57" s="344"/>
      <c r="B57" s="346"/>
      <c r="C57" s="341" t="s">
        <v>76</v>
      </c>
      <c r="D57" s="342"/>
      <c r="E57" s="28"/>
      <c r="F57" s="184" t="s">
        <v>386</v>
      </c>
      <c r="G57" s="28"/>
    </row>
    <row r="58" spans="1:7" s="12" customFormat="1" ht="15.95" customHeight="1" thickBot="1" x14ac:dyDescent="0.3">
      <c r="A58" s="44" t="s">
        <v>44</v>
      </c>
      <c r="B58" s="24" t="s">
        <v>45</v>
      </c>
      <c r="C58" s="357"/>
      <c r="D58" s="358"/>
      <c r="E58" s="29"/>
      <c r="F58" s="196"/>
      <c r="G58" s="29"/>
    </row>
    <row r="59" spans="1:7" s="12" customFormat="1" ht="26.45" customHeight="1" thickBot="1" x14ac:dyDescent="0.3">
      <c r="A59" s="44" t="s">
        <v>44</v>
      </c>
      <c r="B59" s="24" t="s">
        <v>63</v>
      </c>
      <c r="C59" s="357"/>
      <c r="D59" s="358"/>
      <c r="E59" s="29"/>
      <c r="F59" s="196"/>
      <c r="G59" s="29"/>
    </row>
    <row r="60" spans="1:7" s="12" customFormat="1" ht="28.5" customHeight="1" thickBot="1" x14ac:dyDescent="0.3">
      <c r="A60" s="44" t="s">
        <v>44</v>
      </c>
      <c r="B60" s="24" t="s">
        <v>64</v>
      </c>
      <c r="C60" s="357"/>
      <c r="D60" s="358"/>
      <c r="E60" s="29"/>
      <c r="F60" s="196"/>
      <c r="G60" s="29"/>
    </row>
    <row r="61" spans="1:7" s="12" customFormat="1" ht="14.45" customHeight="1" thickBot="1" x14ac:dyDescent="0.3">
      <c r="A61" s="44" t="s">
        <v>50</v>
      </c>
      <c r="B61" s="24" t="s">
        <v>65</v>
      </c>
      <c r="C61" s="357"/>
      <c r="D61" s="358"/>
      <c r="E61" s="29"/>
      <c r="F61" s="196"/>
      <c r="G61" s="29"/>
    </row>
    <row r="62" spans="1:7" s="12" customFormat="1" ht="13.5" thickBot="1" x14ac:dyDescent="0.3">
      <c r="A62" s="44" t="s">
        <v>27</v>
      </c>
      <c r="B62" s="24"/>
      <c r="C62" s="369" t="s">
        <v>77</v>
      </c>
      <c r="D62" s="370"/>
      <c r="E62" s="28"/>
      <c r="F62" s="193" t="s">
        <v>349</v>
      </c>
      <c r="G62" s="28"/>
    </row>
    <row r="63" spans="1:7" s="12" customFormat="1" ht="39" thickBot="1" x14ac:dyDescent="0.3">
      <c r="A63" s="44" t="s">
        <v>28</v>
      </c>
      <c r="B63" s="24" t="s">
        <v>179</v>
      </c>
      <c r="C63" s="369" t="s">
        <v>78</v>
      </c>
      <c r="D63" s="370"/>
      <c r="E63" s="28"/>
      <c r="F63" s="193">
        <v>33</v>
      </c>
      <c r="G63" s="28"/>
    </row>
    <row r="64" spans="1:7" s="12" customFormat="1" ht="39.6" customHeight="1" thickBot="1" x14ac:dyDescent="0.3">
      <c r="A64" s="44" t="s">
        <v>51</v>
      </c>
      <c r="B64" s="24" t="s">
        <v>79</v>
      </c>
      <c r="C64" s="357"/>
      <c r="D64" s="358"/>
      <c r="E64" s="29"/>
      <c r="F64" s="193"/>
      <c r="G64" s="29"/>
    </row>
    <row r="65" spans="1:7" s="12" customFormat="1" ht="41.1" customHeight="1" thickBot="1" x14ac:dyDescent="0.3">
      <c r="A65" s="44" t="s">
        <v>54</v>
      </c>
      <c r="B65" s="24" t="s">
        <v>80</v>
      </c>
      <c r="C65" s="357"/>
      <c r="D65" s="358"/>
      <c r="E65" s="29"/>
      <c r="F65" s="193"/>
      <c r="G65" s="29"/>
    </row>
    <row r="66" spans="1:7" s="12" customFormat="1" ht="78.95" customHeight="1" thickBot="1" x14ac:dyDescent="0.3">
      <c r="A66" s="44" t="s">
        <v>29</v>
      </c>
      <c r="B66" s="24" t="s">
        <v>132</v>
      </c>
      <c r="C66" s="357"/>
      <c r="D66" s="358"/>
      <c r="E66" s="29"/>
      <c r="F66" s="193"/>
      <c r="G66" s="29"/>
    </row>
    <row r="67" spans="1:7" s="12" customFormat="1" ht="39" thickBot="1" x14ac:dyDescent="0.3">
      <c r="A67" s="44" t="s">
        <v>31</v>
      </c>
      <c r="B67" s="24" t="s">
        <v>94</v>
      </c>
      <c r="C67" s="369" t="s">
        <v>30</v>
      </c>
      <c r="D67" s="370"/>
      <c r="E67" s="28"/>
      <c r="F67" s="193" t="s">
        <v>350</v>
      </c>
      <c r="G67" s="28"/>
    </row>
    <row r="68" spans="1:7" s="12" customFormat="1" ht="28.5" customHeight="1" thickBot="1" x14ac:dyDescent="0.3">
      <c r="A68" s="44" t="s">
        <v>55</v>
      </c>
      <c r="B68" s="24" t="s">
        <v>95</v>
      </c>
      <c r="C68" s="357"/>
      <c r="D68" s="358"/>
      <c r="E68" s="29"/>
      <c r="F68" s="193"/>
      <c r="G68" s="29"/>
    </row>
    <row r="69" spans="1:7" s="12" customFormat="1" ht="26.25" thickBot="1" x14ac:dyDescent="0.3">
      <c r="A69" s="44" t="s">
        <v>32</v>
      </c>
      <c r="B69" s="24" t="s">
        <v>96</v>
      </c>
      <c r="C69" s="369" t="s">
        <v>30</v>
      </c>
      <c r="D69" s="370"/>
      <c r="E69" s="28"/>
      <c r="F69" s="193" t="s">
        <v>351</v>
      </c>
      <c r="G69" s="28"/>
    </row>
    <row r="70" spans="1:7" s="12" customFormat="1" ht="42.6" customHeight="1" thickBot="1" x14ac:dyDescent="0.3">
      <c r="A70" s="44" t="s">
        <v>56</v>
      </c>
      <c r="B70" s="24" t="s">
        <v>167</v>
      </c>
      <c r="C70" s="357"/>
      <c r="D70" s="358"/>
      <c r="E70" s="29"/>
      <c r="F70" s="193"/>
      <c r="G70" s="29"/>
    </row>
    <row r="71" spans="1:7" s="12" customFormat="1" ht="27.95" customHeight="1" thickBot="1" x14ac:dyDescent="0.3">
      <c r="A71" s="44" t="s">
        <v>48</v>
      </c>
      <c r="B71" s="24" t="s">
        <v>47</v>
      </c>
      <c r="C71" s="357"/>
      <c r="D71" s="358"/>
      <c r="E71" s="29"/>
      <c r="F71" s="193"/>
      <c r="G71" s="29"/>
    </row>
    <row r="72" spans="1:7" s="12" customFormat="1" ht="26.25" thickBot="1" x14ac:dyDescent="0.3">
      <c r="A72" s="44" t="s">
        <v>49</v>
      </c>
      <c r="B72" s="24" t="s">
        <v>103</v>
      </c>
      <c r="C72" s="357"/>
      <c r="D72" s="358"/>
      <c r="E72" s="29"/>
      <c r="F72" s="193"/>
      <c r="G72" s="29"/>
    </row>
    <row r="73" spans="1:7" s="12" customFormat="1" ht="26.25" thickBot="1" x14ac:dyDescent="0.3">
      <c r="A73" s="44" t="s">
        <v>46</v>
      </c>
      <c r="B73" s="24" t="s">
        <v>81</v>
      </c>
      <c r="C73" s="357"/>
      <c r="D73" s="358"/>
      <c r="E73" s="29"/>
      <c r="F73" s="193"/>
      <c r="G73" s="29"/>
    </row>
    <row r="74" spans="1:7" ht="13.5" thickBot="1" x14ac:dyDescent="0.25">
      <c r="F74" s="250"/>
    </row>
    <row r="75" spans="1:7" s="15" customFormat="1" ht="32.25" thickBot="1" x14ac:dyDescent="0.3">
      <c r="A75" s="362" t="s">
        <v>168</v>
      </c>
      <c r="B75" s="363"/>
      <c r="C75" s="363"/>
      <c r="D75" s="364"/>
      <c r="E75" s="32"/>
      <c r="F75" s="208" t="s">
        <v>332</v>
      </c>
      <c r="G75" s="32"/>
    </row>
    <row r="76" spans="1:7" s="3" customFormat="1" ht="15" customHeight="1" thickBot="1" x14ac:dyDescent="0.3">
      <c r="A76" s="371" t="s">
        <v>169</v>
      </c>
      <c r="B76" s="372"/>
      <c r="C76" s="372"/>
      <c r="D76" s="373"/>
      <c r="E76" s="33"/>
      <c r="F76" s="246" t="s">
        <v>17</v>
      </c>
      <c r="G76" s="33"/>
    </row>
    <row r="77" spans="1:7" s="12" customFormat="1" x14ac:dyDescent="0.25">
      <c r="A77" s="374" t="s">
        <v>82</v>
      </c>
      <c r="B77" s="375"/>
      <c r="C77" s="375"/>
      <c r="D77" s="376"/>
      <c r="E77" s="29"/>
      <c r="F77" s="251">
        <f>1010*('PPI Adj'!D6)</f>
        <v>1178.67</v>
      </c>
      <c r="G77" s="29"/>
    </row>
    <row r="78" spans="1:7" s="12" customFormat="1" x14ac:dyDescent="0.25">
      <c r="A78" s="374" t="s">
        <v>83</v>
      </c>
      <c r="B78" s="375"/>
      <c r="C78" s="375"/>
      <c r="D78" s="376"/>
      <c r="E78" s="29"/>
      <c r="F78" s="251">
        <f>-1010*('PPI Adj'!D6)</f>
        <v>-1178.67</v>
      </c>
      <c r="G78" s="29"/>
    </row>
    <row r="79" spans="1:7" s="12" customFormat="1" x14ac:dyDescent="0.25">
      <c r="A79" s="377" t="s">
        <v>34</v>
      </c>
      <c r="B79" s="378"/>
      <c r="C79" s="378"/>
      <c r="D79" s="379"/>
      <c r="E79" s="28"/>
      <c r="F79" s="252">
        <f>532*('PPI Adj'!D6)</f>
        <v>620.84400000000005</v>
      </c>
      <c r="G79" s="28"/>
    </row>
    <row r="80" spans="1:7" s="12" customFormat="1" x14ac:dyDescent="0.25">
      <c r="A80" s="377" t="s">
        <v>35</v>
      </c>
      <c r="B80" s="378"/>
      <c r="C80" s="378"/>
      <c r="D80" s="379"/>
      <c r="E80" s="29"/>
      <c r="F80" s="252">
        <f>261*('PPI Adj'!D6)</f>
        <v>304.58699999999999</v>
      </c>
      <c r="G80" s="29"/>
    </row>
    <row r="81" spans="1:7" s="12" customFormat="1" x14ac:dyDescent="0.25">
      <c r="A81" s="377" t="s">
        <v>36</v>
      </c>
      <c r="B81" s="378"/>
      <c r="C81" s="378"/>
      <c r="D81" s="379"/>
      <c r="E81" s="28"/>
      <c r="F81" s="252">
        <f>290*('PPI Adj'!D6)</f>
        <v>338.43</v>
      </c>
      <c r="G81" s="28"/>
    </row>
    <row r="82" spans="1:7" s="12" customFormat="1" x14ac:dyDescent="0.25">
      <c r="A82" s="377" t="s">
        <v>60</v>
      </c>
      <c r="B82" s="378"/>
      <c r="C82" s="378"/>
      <c r="D82" s="379"/>
      <c r="E82" s="28"/>
      <c r="F82" s="252">
        <f>1086*('PPI Adj'!D6)</f>
        <v>1267.3620000000001</v>
      </c>
      <c r="G82" s="28"/>
    </row>
    <row r="83" spans="1:7" s="12" customFormat="1" x14ac:dyDescent="0.25">
      <c r="A83" s="377" t="s">
        <v>61</v>
      </c>
      <c r="B83" s="378"/>
      <c r="C83" s="378"/>
      <c r="D83" s="379"/>
      <c r="E83" s="28"/>
      <c r="F83" s="252">
        <f>1524*('PPI Adj'!D6)</f>
        <v>1778.508</v>
      </c>
      <c r="G83" s="28"/>
    </row>
    <row r="84" spans="1:7" s="12" customFormat="1" x14ac:dyDescent="0.25">
      <c r="A84" s="377" t="s">
        <v>86</v>
      </c>
      <c r="B84" s="378"/>
      <c r="C84" s="378"/>
      <c r="D84" s="379"/>
      <c r="E84" s="28"/>
      <c r="F84" s="252">
        <f>856*('PPI Adj'!D6)</f>
        <v>998.952</v>
      </c>
      <c r="G84" s="28"/>
    </row>
    <row r="85" spans="1:7" x14ac:dyDescent="0.2">
      <c r="A85" s="377" t="s">
        <v>85</v>
      </c>
      <c r="B85" s="378"/>
      <c r="C85" s="378"/>
      <c r="D85" s="379"/>
      <c r="E85" s="28"/>
      <c r="F85" s="252" t="s">
        <v>181</v>
      </c>
      <c r="G85" s="28"/>
    </row>
    <row r="86" spans="1:7" x14ac:dyDescent="0.2">
      <c r="A86" s="377" t="s">
        <v>13</v>
      </c>
      <c r="B86" s="378"/>
      <c r="C86" s="378"/>
      <c r="D86" s="379"/>
      <c r="E86" s="28"/>
      <c r="F86" s="252">
        <f>10801*('PPI Adj'!D6)</f>
        <v>12604.767</v>
      </c>
      <c r="G86" s="28"/>
    </row>
    <row r="87" spans="1:7" x14ac:dyDescent="0.2">
      <c r="A87" s="377" t="s">
        <v>37</v>
      </c>
      <c r="B87" s="378"/>
      <c r="C87" s="378"/>
      <c r="D87" s="379"/>
      <c r="E87" s="29"/>
      <c r="F87" s="252">
        <f>500*('PPI Adj'!D6)</f>
        <v>583.5</v>
      </c>
      <c r="G87" s="29"/>
    </row>
    <row r="88" spans="1:7" x14ac:dyDescent="0.2">
      <c r="A88" s="377" t="s">
        <v>38</v>
      </c>
      <c r="B88" s="378"/>
      <c r="C88" s="378"/>
      <c r="D88" s="379"/>
      <c r="E88" s="29"/>
      <c r="F88" s="252">
        <f>662*('PPI Adj'!D6)</f>
        <v>772.55399999999997</v>
      </c>
      <c r="G88" s="28"/>
    </row>
    <row r="89" spans="1:7" x14ac:dyDescent="0.2">
      <c r="A89" s="377" t="s">
        <v>39</v>
      </c>
      <c r="B89" s="378"/>
      <c r="C89" s="378"/>
      <c r="D89" s="379"/>
      <c r="E89" s="28"/>
      <c r="F89" s="252">
        <f>882*('PPI Adj'!D6)</f>
        <v>1029.2940000000001</v>
      </c>
      <c r="G89" s="28"/>
    </row>
    <row r="90" spans="1:7" x14ac:dyDescent="0.2">
      <c r="A90" s="377" t="s">
        <v>90</v>
      </c>
      <c r="B90" s="378"/>
      <c r="C90" s="378"/>
      <c r="D90" s="379"/>
      <c r="E90" s="29"/>
      <c r="F90" s="252">
        <f>394.87*('PPI Adj'!D6)</f>
        <v>460.81328999999999</v>
      </c>
      <c r="G90" s="29"/>
    </row>
    <row r="91" spans="1:7" x14ac:dyDescent="0.2">
      <c r="A91" s="377" t="s">
        <v>88</v>
      </c>
      <c r="B91" s="378"/>
      <c r="C91" s="378"/>
      <c r="D91" s="379"/>
      <c r="E91" s="28"/>
      <c r="F91" s="252" t="s">
        <v>181</v>
      </c>
      <c r="G91" s="28"/>
    </row>
    <row r="92" spans="1:7" x14ac:dyDescent="0.2">
      <c r="A92" s="377" t="s">
        <v>40</v>
      </c>
      <c r="B92" s="378"/>
      <c r="C92" s="378"/>
      <c r="D92" s="379"/>
      <c r="E92" s="28"/>
      <c r="F92" s="252">
        <f>204*('PPI Adj'!D6)</f>
        <v>238.06800000000001</v>
      </c>
      <c r="G92" s="28"/>
    </row>
    <row r="93" spans="1:7" x14ac:dyDescent="0.2">
      <c r="A93" s="377" t="s">
        <v>14</v>
      </c>
      <c r="B93" s="378"/>
      <c r="C93" s="378"/>
      <c r="D93" s="379"/>
      <c r="E93" s="28"/>
      <c r="F93" s="252">
        <f>8330*('PPI Adj'!D6)</f>
        <v>9721.11</v>
      </c>
      <c r="G93" s="28"/>
    </row>
    <row r="94" spans="1:7" x14ac:dyDescent="0.2">
      <c r="A94" s="377" t="s">
        <v>91</v>
      </c>
      <c r="B94" s="378"/>
      <c r="C94" s="378"/>
      <c r="D94" s="379"/>
      <c r="E94" s="28"/>
      <c r="F94" s="253">
        <f>1971*('PPI Adj'!D6)</f>
        <v>2300.1570000000002</v>
      </c>
      <c r="G94" s="28"/>
    </row>
    <row r="95" spans="1:7" x14ac:dyDescent="0.2">
      <c r="A95" s="383" t="s">
        <v>272</v>
      </c>
      <c r="B95" s="384"/>
      <c r="C95" s="384"/>
      <c r="D95" s="385"/>
      <c r="E95" s="28"/>
      <c r="F95" s="252">
        <f>-1036*('PPI Adj'!D6)</f>
        <v>-1209.0119999999999</v>
      </c>
      <c r="G95" s="28"/>
    </row>
    <row r="96" spans="1:7" ht="13.5" thickBot="1" x14ac:dyDescent="0.25">
      <c r="A96" s="380" t="s">
        <v>92</v>
      </c>
      <c r="B96" s="381"/>
      <c r="C96" s="381"/>
      <c r="D96" s="382"/>
      <c r="E96" s="29"/>
      <c r="F96" s="254">
        <f>-2023*('PPI Adj'!D6)</f>
        <v>-2360.8409999999999</v>
      </c>
      <c r="G96" s="29"/>
    </row>
    <row r="97" spans="1:7" ht="13.5" thickBot="1" x14ac:dyDescent="0.25">
      <c r="F97" s="250"/>
    </row>
    <row r="98" spans="1:7" s="15" customFormat="1" ht="32.25" thickBot="1" x14ac:dyDescent="0.3">
      <c r="A98" s="362" t="s">
        <v>166</v>
      </c>
      <c r="B98" s="363"/>
      <c r="C98" s="363"/>
      <c r="D98" s="364"/>
      <c r="E98" s="32"/>
      <c r="F98" s="208" t="s">
        <v>332</v>
      </c>
      <c r="G98" s="32"/>
    </row>
    <row r="99" spans="1:7" s="3" customFormat="1" ht="39.75" customHeight="1" thickBot="1" x14ac:dyDescent="0.3">
      <c r="A99" s="46" t="s">
        <v>33</v>
      </c>
      <c r="B99" s="18" t="s">
        <v>7</v>
      </c>
      <c r="C99" s="386" t="s">
        <v>165</v>
      </c>
      <c r="D99" s="387"/>
      <c r="E99" s="33"/>
      <c r="F99" s="246" t="s">
        <v>17</v>
      </c>
      <c r="G99" s="33"/>
    </row>
    <row r="100" spans="1:7" s="12" customFormat="1" ht="26.25" thickBot="1" x14ac:dyDescent="0.3">
      <c r="A100" s="47" t="s">
        <v>82</v>
      </c>
      <c r="B100" s="14" t="s">
        <v>130</v>
      </c>
      <c r="C100" s="388"/>
      <c r="D100" s="389"/>
      <c r="E100" s="29"/>
      <c r="F100" s="193"/>
      <c r="G100" s="29"/>
    </row>
    <row r="101" spans="1:7" s="12" customFormat="1" ht="39" thickBot="1" x14ac:dyDescent="0.3">
      <c r="A101" s="47" t="s">
        <v>83</v>
      </c>
      <c r="B101" s="17" t="s">
        <v>146</v>
      </c>
      <c r="C101" s="388"/>
      <c r="D101" s="389"/>
      <c r="E101" s="29"/>
      <c r="F101" s="193"/>
      <c r="G101" s="29"/>
    </row>
    <row r="102" spans="1:7" s="12" customFormat="1" ht="26.25" thickBot="1" x14ac:dyDescent="0.3">
      <c r="A102" s="44" t="s">
        <v>34</v>
      </c>
      <c r="B102" s="24" t="s">
        <v>107</v>
      </c>
      <c r="C102" s="369" t="s">
        <v>30</v>
      </c>
      <c r="D102" s="370"/>
      <c r="E102" s="28"/>
      <c r="F102" s="193" t="s">
        <v>352</v>
      </c>
      <c r="G102" s="28"/>
    </row>
    <row r="103" spans="1:7" s="12" customFormat="1" ht="51.95" customHeight="1" thickBot="1" x14ac:dyDescent="0.3">
      <c r="A103" s="44" t="s">
        <v>35</v>
      </c>
      <c r="B103" s="24" t="s">
        <v>97</v>
      </c>
      <c r="C103" s="357"/>
      <c r="D103" s="358"/>
      <c r="E103" s="29"/>
      <c r="F103" s="193"/>
      <c r="G103" s="29"/>
    </row>
    <row r="104" spans="1:7" s="12" customFormat="1" ht="27.95" customHeight="1" thickBot="1" x14ac:dyDescent="0.3">
      <c r="A104" s="44" t="s">
        <v>36</v>
      </c>
      <c r="B104" s="24" t="s">
        <v>84</v>
      </c>
      <c r="C104" s="369" t="s">
        <v>99</v>
      </c>
      <c r="D104" s="370"/>
      <c r="E104" s="28"/>
      <c r="F104" s="193" t="s">
        <v>387</v>
      </c>
      <c r="G104" s="28"/>
    </row>
    <row r="105" spans="1:7" s="12" customFormat="1" ht="12.75" customHeight="1" x14ac:dyDescent="0.25">
      <c r="A105" s="343" t="s">
        <v>60</v>
      </c>
      <c r="B105" s="345" t="s">
        <v>133</v>
      </c>
      <c r="C105" s="347" t="s">
        <v>176</v>
      </c>
      <c r="D105" s="348"/>
      <c r="E105" s="28"/>
      <c r="F105" s="192" t="s">
        <v>371</v>
      </c>
      <c r="G105" s="28"/>
    </row>
    <row r="106" spans="1:7" s="12" customFormat="1" ht="12.75" customHeight="1" x14ac:dyDescent="0.25">
      <c r="A106" s="351"/>
      <c r="B106" s="352"/>
      <c r="C106" s="353" t="s">
        <v>177</v>
      </c>
      <c r="D106" s="354"/>
      <c r="E106" s="28"/>
      <c r="F106" s="180">
        <v>2470</v>
      </c>
      <c r="G106" s="28"/>
    </row>
    <row r="107" spans="1:7" s="12" customFormat="1" ht="57" customHeight="1" x14ac:dyDescent="0.25">
      <c r="A107" s="351"/>
      <c r="B107" s="352"/>
      <c r="C107" s="353" t="s">
        <v>114</v>
      </c>
      <c r="D107" s="354"/>
      <c r="E107" s="28"/>
      <c r="F107" s="180" t="s">
        <v>355</v>
      </c>
      <c r="G107" s="28"/>
    </row>
    <row r="108" spans="1:7" s="12" customFormat="1" ht="30.75" customHeight="1" thickBot="1" x14ac:dyDescent="0.3">
      <c r="A108" s="344"/>
      <c r="B108" s="346"/>
      <c r="C108" s="341" t="s">
        <v>115</v>
      </c>
      <c r="D108" s="342"/>
      <c r="E108" s="28"/>
      <c r="F108" s="184" t="s">
        <v>356</v>
      </c>
      <c r="G108" s="28"/>
    </row>
    <row r="109" spans="1:7" s="12" customFormat="1" x14ac:dyDescent="0.25">
      <c r="A109" s="343" t="s">
        <v>61</v>
      </c>
      <c r="B109" s="345" t="s">
        <v>134</v>
      </c>
      <c r="C109" s="347" t="s">
        <v>174</v>
      </c>
      <c r="D109" s="348"/>
      <c r="E109" s="28"/>
      <c r="F109" s="192" t="s">
        <v>371</v>
      </c>
      <c r="G109" s="28"/>
    </row>
    <row r="110" spans="1:7" s="12" customFormat="1" ht="12.75" customHeight="1" x14ac:dyDescent="0.25">
      <c r="A110" s="351"/>
      <c r="B110" s="352"/>
      <c r="C110" s="353" t="s">
        <v>175</v>
      </c>
      <c r="D110" s="354"/>
      <c r="E110" s="28"/>
      <c r="F110" s="209">
        <v>2680</v>
      </c>
      <c r="G110" s="28"/>
    </row>
    <row r="111" spans="1:7" s="12" customFormat="1" ht="12.75" customHeight="1" x14ac:dyDescent="0.25">
      <c r="A111" s="351"/>
      <c r="B111" s="352"/>
      <c r="C111" s="353" t="s">
        <v>176</v>
      </c>
      <c r="D111" s="354"/>
      <c r="E111" s="28"/>
      <c r="F111" s="209" t="s">
        <v>371</v>
      </c>
      <c r="G111" s="28"/>
    </row>
    <row r="112" spans="1:7" s="12" customFormat="1" ht="12.75" customHeight="1" x14ac:dyDescent="0.25">
      <c r="A112" s="351"/>
      <c r="B112" s="352"/>
      <c r="C112" s="353" t="s">
        <v>177</v>
      </c>
      <c r="D112" s="354"/>
      <c r="E112" s="28"/>
      <c r="F112" s="180">
        <v>2470</v>
      </c>
      <c r="G112" s="28"/>
    </row>
    <row r="113" spans="1:7" s="12" customFormat="1" ht="12.75" customHeight="1" x14ac:dyDescent="0.25">
      <c r="A113" s="351"/>
      <c r="B113" s="352"/>
      <c r="C113" s="353" t="s">
        <v>112</v>
      </c>
      <c r="D113" s="354"/>
      <c r="E113" s="28"/>
      <c r="F113" s="180" t="s">
        <v>309</v>
      </c>
      <c r="G113" s="28"/>
    </row>
    <row r="114" spans="1:7" s="12" customFormat="1" ht="12.75" customHeight="1" x14ac:dyDescent="0.25">
      <c r="A114" s="351"/>
      <c r="B114" s="352"/>
      <c r="C114" s="353" t="s">
        <v>113</v>
      </c>
      <c r="D114" s="354"/>
      <c r="E114" s="28"/>
      <c r="F114" s="209" t="s">
        <v>359</v>
      </c>
      <c r="G114" s="28"/>
    </row>
    <row r="115" spans="1:7" s="12" customFormat="1" ht="12.75" customHeight="1" x14ac:dyDescent="0.25">
      <c r="A115" s="351"/>
      <c r="B115" s="352"/>
      <c r="C115" s="353" t="s">
        <v>114</v>
      </c>
      <c r="D115" s="354"/>
      <c r="E115" s="28"/>
      <c r="F115" s="209" t="s">
        <v>383</v>
      </c>
      <c r="G115" s="28"/>
    </row>
    <row r="116" spans="1:7" s="12" customFormat="1" ht="13.5" customHeight="1" thickBot="1" x14ac:dyDescent="0.3">
      <c r="A116" s="344"/>
      <c r="B116" s="346"/>
      <c r="C116" s="341" t="s">
        <v>115</v>
      </c>
      <c r="D116" s="342"/>
      <c r="E116" s="28"/>
      <c r="F116" s="184" t="s">
        <v>359</v>
      </c>
      <c r="G116" s="28"/>
    </row>
    <row r="117" spans="1:7" s="12" customFormat="1" ht="143.1" customHeight="1" thickBot="1" x14ac:dyDescent="0.3">
      <c r="A117" s="48" t="s">
        <v>86</v>
      </c>
      <c r="B117" s="16" t="s">
        <v>143</v>
      </c>
      <c r="C117" s="369" t="s">
        <v>104</v>
      </c>
      <c r="D117" s="370"/>
      <c r="E117" s="28"/>
      <c r="F117" s="192" t="s">
        <v>360</v>
      </c>
      <c r="G117" s="28"/>
    </row>
    <row r="118" spans="1:7" ht="168.6" customHeight="1" thickBot="1" x14ac:dyDescent="0.25">
      <c r="A118" s="44" t="s">
        <v>85</v>
      </c>
      <c r="B118" s="13" t="s">
        <v>170</v>
      </c>
      <c r="C118" s="369" t="s">
        <v>104</v>
      </c>
      <c r="D118" s="370"/>
      <c r="E118" s="28"/>
      <c r="F118" s="193" t="s">
        <v>181</v>
      </c>
      <c r="G118" s="28"/>
    </row>
    <row r="119" spans="1:7" x14ac:dyDescent="0.2">
      <c r="A119" s="343" t="s">
        <v>13</v>
      </c>
      <c r="B119" s="345" t="s">
        <v>98</v>
      </c>
      <c r="C119" s="347" t="s">
        <v>30</v>
      </c>
      <c r="D119" s="348"/>
      <c r="E119" s="28"/>
      <c r="F119" s="192" t="s">
        <v>361</v>
      </c>
      <c r="G119" s="28"/>
    </row>
    <row r="120" spans="1:7" ht="42.75" customHeight="1" thickBot="1" x14ac:dyDescent="0.25">
      <c r="A120" s="344"/>
      <c r="B120" s="346"/>
      <c r="C120" s="341" t="s">
        <v>109</v>
      </c>
      <c r="D120" s="342"/>
      <c r="E120" s="28"/>
      <c r="F120" s="184" t="s">
        <v>362</v>
      </c>
      <c r="G120" s="28"/>
    </row>
    <row r="121" spans="1:7" ht="64.5" customHeight="1" thickBot="1" x14ac:dyDescent="0.25">
      <c r="A121" s="44" t="s">
        <v>37</v>
      </c>
      <c r="B121" s="24" t="s">
        <v>135</v>
      </c>
      <c r="C121" s="357"/>
      <c r="D121" s="358"/>
      <c r="E121" s="29"/>
      <c r="F121" s="193" t="s">
        <v>378</v>
      </c>
      <c r="G121" s="29"/>
    </row>
    <row r="122" spans="1:7" ht="40.5" customHeight="1" thickBot="1" x14ac:dyDescent="0.25">
      <c r="A122" s="44" t="s">
        <v>38</v>
      </c>
      <c r="B122" s="24" t="s">
        <v>87</v>
      </c>
      <c r="C122" s="357"/>
      <c r="D122" s="358"/>
      <c r="E122" s="29"/>
      <c r="F122" s="192"/>
      <c r="G122" s="29"/>
    </row>
    <row r="123" spans="1:7" ht="26.45" customHeight="1" thickBot="1" x14ac:dyDescent="0.25">
      <c r="A123" s="44" t="s">
        <v>39</v>
      </c>
      <c r="B123" s="24" t="s">
        <v>106</v>
      </c>
      <c r="C123" s="369" t="s">
        <v>105</v>
      </c>
      <c r="D123" s="370"/>
      <c r="E123" s="28"/>
      <c r="F123" s="193" t="s">
        <v>207</v>
      </c>
      <c r="G123" s="28"/>
    </row>
    <row r="124" spans="1:7" ht="40.5" customHeight="1" thickBot="1" x14ac:dyDescent="0.25">
      <c r="A124" s="44" t="s">
        <v>90</v>
      </c>
      <c r="B124" s="24" t="s">
        <v>129</v>
      </c>
      <c r="C124" s="357"/>
      <c r="D124" s="358"/>
      <c r="E124" s="29"/>
      <c r="F124" s="193"/>
      <c r="G124" s="29"/>
    </row>
    <row r="125" spans="1:7" x14ac:dyDescent="0.2">
      <c r="A125" s="343" t="s">
        <v>88</v>
      </c>
      <c r="B125" s="345" t="s">
        <v>148</v>
      </c>
      <c r="C125" s="347" t="s">
        <v>100</v>
      </c>
      <c r="D125" s="348"/>
      <c r="E125" s="28"/>
      <c r="F125" s="192" t="s">
        <v>181</v>
      </c>
      <c r="G125" s="28"/>
    </row>
    <row r="126" spans="1:7" ht="108" customHeight="1" thickBot="1" x14ac:dyDescent="0.25">
      <c r="A126" s="344"/>
      <c r="B126" s="346"/>
      <c r="C126" s="341" t="s">
        <v>110</v>
      </c>
      <c r="D126" s="342"/>
      <c r="E126" s="28"/>
      <c r="F126" s="255"/>
      <c r="G126" s="28"/>
    </row>
    <row r="127" spans="1:7" ht="26.25" thickBot="1" x14ac:dyDescent="0.25">
      <c r="A127" s="44" t="s">
        <v>40</v>
      </c>
      <c r="B127" s="24" t="s">
        <v>137</v>
      </c>
      <c r="C127" s="369" t="s">
        <v>100</v>
      </c>
      <c r="D127" s="370"/>
      <c r="E127" s="28"/>
      <c r="F127" s="184" t="s">
        <v>363</v>
      </c>
      <c r="G127" s="28"/>
    </row>
    <row r="128" spans="1:7" ht="53.1" customHeight="1" thickBot="1" x14ac:dyDescent="0.25">
      <c r="A128" s="44" t="s">
        <v>14</v>
      </c>
      <c r="B128" s="24" t="s">
        <v>138</v>
      </c>
      <c r="C128" s="369" t="s">
        <v>139</v>
      </c>
      <c r="D128" s="370"/>
      <c r="E128" s="28"/>
      <c r="F128" s="193">
        <v>2</v>
      </c>
      <c r="G128" s="28"/>
    </row>
    <row r="129" spans="1:7" ht="67.5" customHeight="1" thickBot="1" x14ac:dyDescent="0.25">
      <c r="A129" s="44" t="s">
        <v>91</v>
      </c>
      <c r="B129" s="24" t="s">
        <v>144</v>
      </c>
      <c r="C129" s="369" t="s">
        <v>100</v>
      </c>
      <c r="D129" s="370"/>
      <c r="E129" s="28"/>
      <c r="F129" s="193" t="s">
        <v>364</v>
      </c>
      <c r="G129" s="28"/>
    </row>
    <row r="130" spans="1:7" ht="66.95" customHeight="1" thickBot="1" x14ac:dyDescent="0.25">
      <c r="A130" s="44" t="s">
        <v>92</v>
      </c>
      <c r="B130" s="24" t="s">
        <v>145</v>
      </c>
      <c r="C130" s="357"/>
      <c r="D130" s="358"/>
      <c r="E130" s="29"/>
      <c r="F130" s="193"/>
      <c r="G130" s="29"/>
    </row>
  </sheetData>
  <sheetProtection algorithmName="SHA-512" hashValue="+EyvbM/k7whIqFosg6IcNC7ozzRp3jKFBUG3w6M4d4TizZrzJ+rJxu37bYyql2GcIxZw3Zi7GZzEUajlBfSPyA==" saltValue="sJrggO+INVFcgls5GBeLyg==" spinCount="100000" sheet="1" objects="1" scenarios="1"/>
  <dataConsolidate/>
  <mergeCells count="146">
    <mergeCell ref="C127:D127"/>
    <mergeCell ref="C128:D128"/>
    <mergeCell ref="C129:D129"/>
    <mergeCell ref="C130:D130"/>
    <mergeCell ref="C121:D121"/>
    <mergeCell ref="C122:D122"/>
    <mergeCell ref="C123:D123"/>
    <mergeCell ref="C124:D124"/>
    <mergeCell ref="A125:A126"/>
    <mergeCell ref="B125:B126"/>
    <mergeCell ref="C125:D125"/>
    <mergeCell ref="C126:D126"/>
    <mergeCell ref="C118:D118"/>
    <mergeCell ref="A119:A120"/>
    <mergeCell ref="B119:B120"/>
    <mergeCell ref="C119:D119"/>
    <mergeCell ref="C120:D120"/>
    <mergeCell ref="A109:A116"/>
    <mergeCell ref="B109:B116"/>
    <mergeCell ref="C109:D109"/>
    <mergeCell ref="C110:D110"/>
    <mergeCell ref="C111:D111"/>
    <mergeCell ref="C112:D112"/>
    <mergeCell ref="C113:D113"/>
    <mergeCell ref="C114:D114"/>
    <mergeCell ref="C115:D115"/>
    <mergeCell ref="C116:D116"/>
    <mergeCell ref="C103:D103"/>
    <mergeCell ref="C104:D104"/>
    <mergeCell ref="A105:A108"/>
    <mergeCell ref="B105:B108"/>
    <mergeCell ref="C105:D105"/>
    <mergeCell ref="C106:D106"/>
    <mergeCell ref="C107:D107"/>
    <mergeCell ref="C108:D108"/>
    <mergeCell ref="C117:D117"/>
    <mergeCell ref="C99:D99"/>
    <mergeCell ref="C100:D100"/>
    <mergeCell ref="C101:D101"/>
    <mergeCell ref="C102:D102"/>
    <mergeCell ref="A92:D92"/>
    <mergeCell ref="A93:D93"/>
    <mergeCell ref="A94:D94"/>
    <mergeCell ref="A96:D96"/>
    <mergeCell ref="A98:D98"/>
    <mergeCell ref="A95:D95"/>
    <mergeCell ref="A86:D86"/>
    <mergeCell ref="A87:D87"/>
    <mergeCell ref="A88:D88"/>
    <mergeCell ref="A89:D89"/>
    <mergeCell ref="A90:D90"/>
    <mergeCell ref="A91:D91"/>
    <mergeCell ref="A80:D80"/>
    <mergeCell ref="A81:D81"/>
    <mergeCell ref="A82:D82"/>
    <mergeCell ref="A83:D83"/>
    <mergeCell ref="A84:D84"/>
    <mergeCell ref="A85:D85"/>
    <mergeCell ref="A76:D76"/>
    <mergeCell ref="A77:D77"/>
    <mergeCell ref="A78:D78"/>
    <mergeCell ref="A79:D79"/>
    <mergeCell ref="C70:D70"/>
    <mergeCell ref="C71:D71"/>
    <mergeCell ref="C72:D72"/>
    <mergeCell ref="C73:D73"/>
    <mergeCell ref="A75:D75"/>
    <mergeCell ref="C64:D64"/>
    <mergeCell ref="C65:D65"/>
    <mergeCell ref="C66:D66"/>
    <mergeCell ref="C67:D67"/>
    <mergeCell ref="C68:D68"/>
    <mergeCell ref="C69:D69"/>
    <mergeCell ref="C58:D58"/>
    <mergeCell ref="C59:D59"/>
    <mergeCell ref="C60:D60"/>
    <mergeCell ref="C61:D61"/>
    <mergeCell ref="C62:D62"/>
    <mergeCell ref="C63:D63"/>
    <mergeCell ref="C52:D52"/>
    <mergeCell ref="A53:A54"/>
    <mergeCell ref="B53:B54"/>
    <mergeCell ref="C53:D53"/>
    <mergeCell ref="C54:D54"/>
    <mergeCell ref="A55:A57"/>
    <mergeCell ref="B55:B57"/>
    <mergeCell ref="C55:D55"/>
    <mergeCell ref="C56:D56"/>
    <mergeCell ref="C57:D57"/>
    <mergeCell ref="C48:D48"/>
    <mergeCell ref="A49:A51"/>
    <mergeCell ref="B49:B51"/>
    <mergeCell ref="C49:D49"/>
    <mergeCell ref="C50:D50"/>
    <mergeCell ref="C51:D51"/>
    <mergeCell ref="C40:D40"/>
    <mergeCell ref="A41:A48"/>
    <mergeCell ref="B41:B48"/>
    <mergeCell ref="C41:D41"/>
    <mergeCell ref="C42:D42"/>
    <mergeCell ref="C43:D43"/>
    <mergeCell ref="C44:D44"/>
    <mergeCell ref="C45:D45"/>
    <mergeCell ref="C46:D46"/>
    <mergeCell ref="C47:D47"/>
    <mergeCell ref="C30:D30"/>
    <mergeCell ref="B23:D23"/>
    <mergeCell ref="A25:D25"/>
    <mergeCell ref="A36:A37"/>
    <mergeCell ref="B36:B37"/>
    <mergeCell ref="C36:D36"/>
    <mergeCell ref="C37:D37"/>
    <mergeCell ref="A38:A39"/>
    <mergeCell ref="B38:B39"/>
    <mergeCell ref="C38:D38"/>
    <mergeCell ref="C39:D39"/>
    <mergeCell ref="A31:A35"/>
    <mergeCell ref="B31:B35"/>
    <mergeCell ref="C31:D31"/>
    <mergeCell ref="C32:D32"/>
    <mergeCell ref="C33:D33"/>
    <mergeCell ref="C34:D34"/>
    <mergeCell ref="C35:D35"/>
    <mergeCell ref="C26:D26"/>
    <mergeCell ref="B17:D17"/>
    <mergeCell ref="B21:D21"/>
    <mergeCell ref="B22:D22"/>
    <mergeCell ref="C27:D27"/>
    <mergeCell ref="A28:A29"/>
    <mergeCell ref="B28:B29"/>
    <mergeCell ref="C28:D28"/>
    <mergeCell ref="C29:D29"/>
    <mergeCell ref="A3:D3"/>
    <mergeCell ref="A4:D4"/>
    <mergeCell ref="A5:F5"/>
    <mergeCell ref="A6:D6"/>
    <mergeCell ref="A19:D19"/>
    <mergeCell ref="B12:D12"/>
    <mergeCell ref="B13:D13"/>
    <mergeCell ref="B14:D14"/>
    <mergeCell ref="B15:D15"/>
    <mergeCell ref="B16:D16"/>
    <mergeCell ref="B8:D8"/>
    <mergeCell ref="B9:D9"/>
    <mergeCell ref="B10:D10"/>
    <mergeCell ref="B11:D11"/>
  </mergeCells>
  <conditionalFormatting sqref="C52 C60">
    <cfRule type="expression" dxfId="141" priority="175">
      <formula>#REF!="NO"</formula>
    </cfRule>
  </conditionalFormatting>
  <conditionalFormatting sqref="C27:G73">
    <cfRule type="expression" dxfId="140" priority="37">
      <formula>#REF!="NO"</formula>
    </cfRule>
  </conditionalFormatting>
  <conditionalFormatting sqref="C100:G130">
    <cfRule type="expression" dxfId="139" priority="9">
      <formula>#REF!="NO"</formula>
    </cfRule>
  </conditionalFormatting>
  <conditionalFormatting sqref="E77:G96">
    <cfRule type="expression" dxfId="138" priority="1">
      <formula>#REF!="NO"</formula>
    </cfRule>
  </conditionalFormatting>
  <conditionalFormatting sqref="F8:F17">
    <cfRule type="expression" dxfId="137" priority="170">
      <formula>#REF!="NO"</formula>
    </cfRule>
  </conditionalFormatting>
  <conditionalFormatting sqref="F21:F23">
    <cfRule type="expression" dxfId="136" priority="171">
      <formula>#REF!="NO"</formula>
    </cfRule>
  </conditionalFormatting>
  <dataValidations count="3">
    <dataValidation type="decimal" operator="greaterThanOrEqual" allowBlank="1" showInputMessage="1" showErrorMessage="1" error="The Pickup Allowance cannot be a negative number." sqref="F16" xr:uid="{00000000-0002-0000-0300-000000000000}">
      <formula1>0</formula1>
    </dataValidation>
    <dataValidation type="decimal" allowBlank="1" showInputMessage="1" showErrorMessage="1" error="Invalid Entry - Bidder must enter a value that is greater than $0" sqref="F21:F22" xr:uid="{00000000-0002-0000-0300-000001000000}">
      <formula1>0</formula1>
      <formula2>9E+21</formula2>
    </dataValidation>
    <dataValidation type="decimal" allowBlank="1" showInputMessage="1" showErrorMessage="1" error="The Additional Options NYS Discount entered must be greater than 0%, or less than or equal to 100%." sqref="F23" xr:uid="{00000000-0002-0000-0300-000002000000}">
      <formula1>0.01</formula1>
      <formula2>100</formula2>
    </dataValidation>
  </dataValidations>
  <pageMargins left="0.25" right="0.25" top="0.5" bottom="0.25" header="0.3" footer="0.3"/>
  <pageSetup scale="92" fitToHeight="0" orientation="landscape" r:id="rId1"/>
  <rowBreaks count="1" manualBreakCount="1">
    <brk id="23"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225D5-3ECB-45EC-B8D8-91151241E57F}">
  <sheetPr>
    <tabColor rgb="FFCC66FF"/>
    <pageSetUpPr autoPageBreaks="0" fitToPage="1"/>
  </sheetPr>
  <dimension ref="A1:J111"/>
  <sheetViews>
    <sheetView showGridLines="0" zoomScaleNormal="100" workbookViewId="0">
      <selection activeCell="A3" sqref="A3:D3"/>
    </sheetView>
  </sheetViews>
  <sheetFormatPr defaultColWidth="9.140625" defaultRowHeight="12.75" x14ac:dyDescent="0.2"/>
  <cols>
    <col min="1" max="1" width="19.140625" style="2" customWidth="1"/>
    <col min="2" max="2" width="75.28515625" style="2" customWidth="1"/>
    <col min="3" max="3" width="6.85546875" style="2" customWidth="1"/>
    <col min="4" max="4" width="34.85546875" style="2" customWidth="1"/>
    <col min="5" max="5" width="3.85546875" style="5" customWidth="1"/>
    <col min="6" max="11" width="20.7109375" style="2" customWidth="1"/>
    <col min="12" max="16384" width="9.140625" style="2"/>
  </cols>
  <sheetData>
    <row r="1" spans="1:8" ht="18" customHeight="1" x14ac:dyDescent="0.2">
      <c r="A1" s="245" t="str">
        <f>'A (Item 2-G)'!$A$1</f>
        <v>GROUP 40524-23254, SCHOOL BUSES (Statewide)                                                             Attachment 1 - Specifications and Pricing (Revised October 15, 2026)</v>
      </c>
      <c r="E1" s="2"/>
    </row>
    <row r="2" spans="1:8" s="19" customFormat="1" ht="18" customHeight="1" thickBot="1" x14ac:dyDescent="0.3">
      <c r="A2" s="305" t="str">
        <f>'Attachment 1 - Summary'!B2</f>
        <v>PC69862 Matthews Buses, Inc.</v>
      </c>
      <c r="B2" s="20"/>
      <c r="C2" s="20"/>
      <c r="D2" s="20"/>
      <c r="E2" s="20"/>
      <c r="F2" s="20"/>
      <c r="G2" s="20"/>
      <c r="H2" s="20"/>
    </row>
    <row r="3" spans="1:8" ht="23.25" x14ac:dyDescent="0.2">
      <c r="A3" s="440" t="s">
        <v>608</v>
      </c>
      <c r="B3" s="441"/>
      <c r="C3" s="441"/>
      <c r="D3" s="442"/>
      <c r="E3" s="115"/>
      <c r="F3" s="8"/>
      <c r="G3" s="8"/>
    </row>
    <row r="4" spans="1:8" ht="51" customHeight="1" thickBot="1" x14ac:dyDescent="0.25">
      <c r="A4" s="400" t="s">
        <v>557</v>
      </c>
      <c r="B4" s="401"/>
      <c r="C4" s="401"/>
      <c r="D4" s="402"/>
      <c r="E4" s="74"/>
      <c r="F4" s="8"/>
      <c r="G4" s="8"/>
    </row>
    <row r="5" spans="1:8" s="4" customFormat="1" ht="31.5" customHeight="1" thickBot="1" x14ac:dyDescent="0.3">
      <c r="A5" s="116"/>
      <c r="B5" s="116"/>
      <c r="C5" s="116"/>
      <c r="D5" s="116"/>
      <c r="E5" s="51"/>
      <c r="F5" s="75"/>
      <c r="G5" s="75"/>
    </row>
    <row r="6" spans="1:8" s="7" customFormat="1" ht="16.5" customHeight="1" thickBot="1" x14ac:dyDescent="0.25">
      <c r="A6" s="335" t="s">
        <v>151</v>
      </c>
      <c r="B6" s="336"/>
      <c r="C6" s="336"/>
      <c r="D6" s="337"/>
      <c r="E6" s="76"/>
      <c r="F6" s="207" t="s">
        <v>591</v>
      </c>
      <c r="G6" s="173"/>
    </row>
    <row r="7" spans="1:8" s="4" customFormat="1" ht="23.25" customHeight="1" thickBot="1" x14ac:dyDescent="0.3">
      <c r="A7" s="77" t="s">
        <v>6</v>
      </c>
      <c r="B7" s="93" t="s">
        <v>165</v>
      </c>
      <c r="C7" s="78"/>
      <c r="D7" s="79"/>
      <c r="E7" s="33"/>
      <c r="F7" s="207" t="s">
        <v>184</v>
      </c>
      <c r="G7" s="175"/>
    </row>
    <row r="8" spans="1:8" ht="103.5" thickTop="1" thickBot="1" x14ac:dyDescent="0.25">
      <c r="A8" s="80" t="s">
        <v>185</v>
      </c>
      <c r="B8" s="117" t="s">
        <v>565</v>
      </c>
      <c r="C8" s="81"/>
      <c r="D8" s="82"/>
      <c r="E8" s="12"/>
      <c r="F8" s="178" t="s">
        <v>510</v>
      </c>
      <c r="G8" s="177"/>
    </row>
    <row r="9" spans="1:8" s="7" customFormat="1" ht="27" customHeight="1" thickTop="1" thickBot="1" x14ac:dyDescent="0.25">
      <c r="A9" s="80" t="s">
        <v>136</v>
      </c>
      <c r="B9" s="323" t="s">
        <v>191</v>
      </c>
      <c r="C9" s="324"/>
      <c r="D9" s="325"/>
      <c r="E9" s="12"/>
      <c r="F9" s="178" t="s">
        <v>558</v>
      </c>
      <c r="G9" s="173"/>
    </row>
    <row r="10" spans="1:8" ht="12.75" customHeight="1" thickTop="1" x14ac:dyDescent="0.2">
      <c r="A10" s="83" t="s">
        <v>512</v>
      </c>
      <c r="B10" s="118" t="s">
        <v>513</v>
      </c>
      <c r="C10" s="119"/>
      <c r="D10" s="120"/>
      <c r="E10" s="12"/>
      <c r="F10" s="179">
        <v>2024</v>
      </c>
      <c r="G10" s="177"/>
    </row>
    <row r="11" spans="1:8" ht="12.75" customHeight="1" x14ac:dyDescent="0.2">
      <c r="A11" s="84" t="s">
        <v>0</v>
      </c>
      <c r="B11" s="121" t="s">
        <v>514</v>
      </c>
      <c r="C11" s="88"/>
      <c r="D11" s="89"/>
      <c r="E11" s="12"/>
      <c r="F11" s="180" t="s">
        <v>305</v>
      </c>
      <c r="G11" s="177"/>
    </row>
    <row r="12" spans="1:8" x14ac:dyDescent="0.2">
      <c r="A12" s="84" t="s">
        <v>1</v>
      </c>
      <c r="B12" s="121" t="s">
        <v>515</v>
      </c>
      <c r="C12" s="88"/>
      <c r="D12" s="89"/>
      <c r="E12" s="12"/>
      <c r="F12" s="180">
        <v>4500</v>
      </c>
      <c r="G12" s="177"/>
    </row>
    <row r="13" spans="1:8" ht="12.75" customHeight="1" thickBot="1" x14ac:dyDescent="0.25">
      <c r="A13" s="85" t="s">
        <v>2</v>
      </c>
      <c r="B13" s="317" t="s">
        <v>517</v>
      </c>
      <c r="C13" s="318"/>
      <c r="D13" s="319"/>
      <c r="E13" s="12"/>
      <c r="F13" s="181" t="s">
        <v>389</v>
      </c>
      <c r="G13" s="177"/>
    </row>
    <row r="14" spans="1:8" ht="12.75" customHeight="1" thickTop="1" x14ac:dyDescent="0.2">
      <c r="A14" s="83" t="s">
        <v>519</v>
      </c>
      <c r="B14" s="122" t="s">
        <v>520</v>
      </c>
      <c r="C14" s="86"/>
      <c r="D14" s="87"/>
      <c r="E14" s="12"/>
      <c r="F14" s="179">
        <v>2024</v>
      </c>
      <c r="G14" s="177"/>
    </row>
    <row r="15" spans="1:8" x14ac:dyDescent="0.2">
      <c r="A15" s="84" t="s">
        <v>3</v>
      </c>
      <c r="B15" s="121" t="s">
        <v>566</v>
      </c>
      <c r="C15" s="88"/>
      <c r="D15" s="89"/>
      <c r="E15" s="12"/>
      <c r="F15" s="180" t="s">
        <v>337</v>
      </c>
      <c r="G15" s="177"/>
    </row>
    <row r="16" spans="1:8" x14ac:dyDescent="0.2">
      <c r="A16" s="84" t="s">
        <v>4</v>
      </c>
      <c r="B16" s="121" t="s">
        <v>567</v>
      </c>
      <c r="C16" s="88"/>
      <c r="D16" s="89"/>
      <c r="E16" s="12"/>
      <c r="F16" s="180" t="s">
        <v>338</v>
      </c>
      <c r="G16" s="177"/>
    </row>
    <row r="17" spans="1:10" ht="13.5" customHeight="1" thickBot="1" x14ac:dyDescent="0.25">
      <c r="A17" s="90" t="s">
        <v>5</v>
      </c>
      <c r="B17" s="317" t="s">
        <v>523</v>
      </c>
      <c r="C17" s="318"/>
      <c r="D17" s="319"/>
      <c r="E17" s="12"/>
      <c r="F17" s="182" t="s">
        <v>390</v>
      </c>
      <c r="G17" s="177"/>
    </row>
    <row r="18" spans="1:10" ht="29.25" customHeight="1" thickTop="1" x14ac:dyDescent="0.2">
      <c r="A18" s="84" t="s">
        <v>101</v>
      </c>
      <c r="B18" s="320" t="s">
        <v>568</v>
      </c>
      <c r="C18" s="321"/>
      <c r="D18" s="322"/>
      <c r="E18" s="12"/>
      <c r="F18" s="183">
        <v>100</v>
      </c>
      <c r="G18" s="177"/>
    </row>
    <row r="19" spans="1:10" ht="30.75" customHeight="1" thickBot="1" x14ac:dyDescent="0.25">
      <c r="A19" s="90" t="s">
        <v>43</v>
      </c>
      <c r="B19" s="317" t="s">
        <v>569</v>
      </c>
      <c r="C19" s="318"/>
      <c r="D19" s="319"/>
      <c r="E19" s="12"/>
      <c r="F19" s="182" t="s">
        <v>526</v>
      </c>
      <c r="G19" s="177"/>
    </row>
    <row r="20" spans="1:10" s="9" customFormat="1" ht="14.25" thickTop="1" thickBot="1" x14ac:dyDescent="0.25">
      <c r="E20" s="10"/>
      <c r="F20" s="185"/>
      <c r="G20" s="185"/>
      <c r="H20" s="10"/>
      <c r="I20" s="10"/>
      <c r="J20" s="10"/>
    </row>
    <row r="21" spans="1:10" s="11" customFormat="1" ht="16.5" customHeight="1" thickBot="1" x14ac:dyDescent="0.25">
      <c r="A21" s="335" t="s">
        <v>150</v>
      </c>
      <c r="B21" s="336"/>
      <c r="C21" s="336"/>
      <c r="D21" s="337"/>
      <c r="E21" s="76"/>
      <c r="F21" s="207" t="s">
        <v>591</v>
      </c>
      <c r="G21" s="186"/>
    </row>
    <row r="22" spans="1:10" s="4" customFormat="1" ht="23.25" customHeight="1" thickBot="1" x14ac:dyDescent="0.3">
      <c r="A22" s="35" t="s">
        <v>6</v>
      </c>
      <c r="B22" s="93" t="s">
        <v>165</v>
      </c>
      <c r="C22" s="78"/>
      <c r="D22" s="79"/>
      <c r="E22" s="33"/>
      <c r="F22" s="207" t="s">
        <v>184</v>
      </c>
      <c r="G22" s="175"/>
    </row>
    <row r="23" spans="1:10" ht="57" customHeight="1" thickTop="1" thickBot="1" x14ac:dyDescent="0.25">
      <c r="A23" s="123" t="s">
        <v>42</v>
      </c>
      <c r="B23" s="405" t="s">
        <v>161</v>
      </c>
      <c r="C23" s="406"/>
      <c r="D23" s="407"/>
      <c r="E23" s="12"/>
      <c r="F23" s="187">
        <f>297998*('PPI Adj'!H6)</f>
        <v>308129.93200000003</v>
      </c>
      <c r="G23" s="177"/>
    </row>
    <row r="24" spans="1:10" ht="57" customHeight="1" thickBot="1" x14ac:dyDescent="0.25">
      <c r="A24" s="41" t="s">
        <v>41</v>
      </c>
      <c r="B24" s="444" t="s">
        <v>163</v>
      </c>
      <c r="C24" s="445"/>
      <c r="D24" s="446"/>
      <c r="E24" s="1"/>
      <c r="F24" s="188">
        <v>20</v>
      </c>
      <c r="G24" s="177"/>
    </row>
    <row r="25" spans="1:10" x14ac:dyDescent="0.2">
      <c r="A25" s="95"/>
      <c r="B25" s="1"/>
      <c r="C25" s="1"/>
      <c r="D25" s="1"/>
      <c r="E25" s="65"/>
      <c r="F25" s="177"/>
      <c r="G25" s="177"/>
    </row>
    <row r="26" spans="1:10" ht="13.5" thickBot="1" x14ac:dyDescent="0.25">
      <c r="A26" s="95"/>
      <c r="B26" s="1"/>
      <c r="C26" s="1"/>
      <c r="D26" s="1"/>
      <c r="E26" s="65"/>
      <c r="F26" s="177"/>
      <c r="G26" s="177"/>
    </row>
    <row r="27" spans="1:10" s="7" customFormat="1" ht="15.75" customHeight="1" thickBot="1" x14ac:dyDescent="0.25">
      <c r="A27" s="447" t="s">
        <v>164</v>
      </c>
      <c r="B27" s="448"/>
      <c r="C27" s="448"/>
      <c r="D27" s="448"/>
      <c r="E27" s="99"/>
      <c r="F27" s="207" t="s">
        <v>591</v>
      </c>
      <c r="G27" s="173"/>
    </row>
    <row r="28" spans="1:10" s="3" customFormat="1" ht="26.25" customHeight="1" thickBot="1" x14ac:dyDescent="0.3">
      <c r="A28" s="50" t="s">
        <v>6</v>
      </c>
      <c r="B28" s="25" t="s">
        <v>7</v>
      </c>
      <c r="C28" s="365" t="s">
        <v>612</v>
      </c>
      <c r="D28" s="443"/>
      <c r="E28" s="33"/>
      <c r="F28" s="208" t="s">
        <v>184</v>
      </c>
      <c r="G28" s="190"/>
    </row>
    <row r="29" spans="1:10" s="12" customFormat="1" ht="39" thickBot="1" x14ac:dyDescent="0.3">
      <c r="A29" s="23" t="s">
        <v>8</v>
      </c>
      <c r="B29" s="124" t="s">
        <v>131</v>
      </c>
      <c r="C29" s="369" t="s">
        <v>118</v>
      </c>
      <c r="D29" s="370"/>
      <c r="E29" s="28"/>
      <c r="F29" s="184">
        <v>14200</v>
      </c>
      <c r="G29" s="191"/>
    </row>
    <row r="30" spans="1:10" s="12" customFormat="1" ht="15" customHeight="1" x14ac:dyDescent="0.25">
      <c r="A30" s="22" t="s">
        <v>21</v>
      </c>
      <c r="B30" s="125" t="s">
        <v>559</v>
      </c>
      <c r="C30" s="347" t="s">
        <v>67</v>
      </c>
      <c r="D30" s="348"/>
      <c r="E30" s="28"/>
      <c r="F30" s="192">
        <v>4</v>
      </c>
      <c r="G30" s="191"/>
    </row>
    <row r="31" spans="1:10" s="12" customFormat="1" ht="15.75" customHeight="1" thickBot="1" x14ac:dyDescent="0.3">
      <c r="A31" s="23"/>
      <c r="B31" s="124"/>
      <c r="C31" s="349"/>
      <c r="D31" s="350" t="s">
        <v>68</v>
      </c>
      <c r="E31" s="28"/>
      <c r="F31" s="184">
        <v>24</v>
      </c>
      <c r="G31" s="191"/>
    </row>
    <row r="32" spans="1:10" s="12" customFormat="1" ht="15.75" customHeight="1" thickBot="1" x14ac:dyDescent="0.3">
      <c r="A32" s="24" t="s">
        <v>123</v>
      </c>
      <c r="B32" s="126" t="s">
        <v>108</v>
      </c>
      <c r="C32" s="449"/>
      <c r="D32" s="439"/>
      <c r="E32" s="100"/>
      <c r="F32" s="193"/>
      <c r="G32" s="191"/>
    </row>
    <row r="33" spans="1:7" s="12" customFormat="1" ht="15" customHeight="1" x14ac:dyDescent="0.25">
      <c r="A33" s="22" t="s">
        <v>59</v>
      </c>
      <c r="B33" s="125"/>
      <c r="C33" s="347" t="s">
        <v>58</v>
      </c>
      <c r="D33" s="348"/>
      <c r="E33" s="28"/>
      <c r="F33" s="192">
        <v>159</v>
      </c>
      <c r="G33" s="191"/>
    </row>
    <row r="34" spans="1:7" s="12" customFormat="1" ht="15" customHeight="1" x14ac:dyDescent="0.25">
      <c r="A34" s="127"/>
      <c r="B34" s="128"/>
      <c r="C34" s="353" t="s">
        <v>57</v>
      </c>
      <c r="D34" s="354"/>
      <c r="E34" s="28"/>
      <c r="F34" s="180">
        <v>266.5</v>
      </c>
      <c r="G34" s="191"/>
    </row>
    <row r="35" spans="1:7" s="12" customFormat="1" ht="15" customHeight="1" x14ac:dyDescent="0.25">
      <c r="A35" s="127"/>
      <c r="B35" s="128"/>
      <c r="C35" s="353" t="s">
        <v>69</v>
      </c>
      <c r="D35" s="354"/>
      <c r="E35" s="28"/>
      <c r="F35" s="180">
        <v>90</v>
      </c>
      <c r="G35" s="191"/>
    </row>
    <row r="36" spans="1:7" s="12" customFormat="1" ht="15" customHeight="1" x14ac:dyDescent="0.25">
      <c r="A36" s="127"/>
      <c r="B36" s="128"/>
      <c r="C36" s="353" t="s">
        <v>70</v>
      </c>
      <c r="D36" s="354"/>
      <c r="E36" s="28"/>
      <c r="F36" s="180">
        <v>73</v>
      </c>
      <c r="G36" s="191"/>
    </row>
    <row r="37" spans="1:7" s="12" customFormat="1" ht="15.75" customHeight="1" thickBot="1" x14ac:dyDescent="0.3">
      <c r="A37" s="23"/>
      <c r="B37" s="124"/>
      <c r="C37" s="349" t="s">
        <v>111</v>
      </c>
      <c r="D37" s="350"/>
      <c r="E37" s="28"/>
      <c r="F37" s="184">
        <v>94.1</v>
      </c>
      <c r="G37" s="191"/>
    </row>
    <row r="38" spans="1:7" s="12" customFormat="1" ht="15" customHeight="1" x14ac:dyDescent="0.25">
      <c r="A38" s="22" t="s">
        <v>11</v>
      </c>
      <c r="B38" s="125"/>
      <c r="C38" s="438" t="s">
        <v>24</v>
      </c>
      <c r="D38" s="439"/>
      <c r="E38" s="28"/>
      <c r="F38" s="192">
        <v>4600</v>
      </c>
      <c r="G38" s="191"/>
    </row>
    <row r="39" spans="1:7" s="12" customFormat="1" ht="15.75" customHeight="1" thickBot="1" x14ac:dyDescent="0.3">
      <c r="A39" s="23"/>
      <c r="B39" s="124"/>
      <c r="C39" s="349" t="s">
        <v>22</v>
      </c>
      <c r="D39" s="350"/>
      <c r="E39" s="28"/>
      <c r="F39" s="184">
        <v>4600</v>
      </c>
      <c r="G39" s="191"/>
    </row>
    <row r="40" spans="1:7" s="12" customFormat="1" ht="15" customHeight="1" x14ac:dyDescent="0.25">
      <c r="A40" s="22" t="s">
        <v>16</v>
      </c>
      <c r="B40" s="125"/>
      <c r="C40" s="347" t="s">
        <v>24</v>
      </c>
      <c r="D40" s="348"/>
      <c r="E40" s="28"/>
      <c r="F40" s="192">
        <v>9600</v>
      </c>
      <c r="G40" s="191"/>
    </row>
    <row r="41" spans="1:7" s="12" customFormat="1" ht="15.75" customHeight="1" thickBot="1" x14ac:dyDescent="0.3">
      <c r="A41" s="23"/>
      <c r="B41" s="124"/>
      <c r="C41" s="349" t="s">
        <v>23</v>
      </c>
      <c r="D41" s="350"/>
      <c r="E41" s="28"/>
      <c r="F41" s="184">
        <v>9600</v>
      </c>
      <c r="G41" s="191"/>
    </row>
    <row r="42" spans="1:7" s="12" customFormat="1" ht="15.75" customHeight="1" thickBot="1" x14ac:dyDescent="0.3">
      <c r="A42" s="24" t="s">
        <v>52</v>
      </c>
      <c r="B42" s="126" t="s">
        <v>53</v>
      </c>
      <c r="C42" s="429"/>
      <c r="D42" s="430"/>
      <c r="E42" s="100"/>
      <c r="F42" s="193"/>
      <c r="G42" s="191"/>
    </row>
    <row r="43" spans="1:7" s="12" customFormat="1" ht="36" customHeight="1" x14ac:dyDescent="0.25">
      <c r="A43" s="345" t="s">
        <v>12</v>
      </c>
      <c r="B43" s="450" t="s">
        <v>142</v>
      </c>
      <c r="C43" s="347" t="s">
        <v>205</v>
      </c>
      <c r="D43" s="348"/>
      <c r="E43" s="28"/>
      <c r="F43" s="192" t="s">
        <v>371</v>
      </c>
      <c r="G43" s="191"/>
    </row>
    <row r="44" spans="1:7" s="12" customFormat="1" ht="30" customHeight="1" x14ac:dyDescent="0.25">
      <c r="A44" s="352"/>
      <c r="B44" s="451"/>
      <c r="C44" s="353" t="s">
        <v>531</v>
      </c>
      <c r="D44" s="354"/>
      <c r="E44" s="28"/>
      <c r="F44" s="180">
        <v>2335</v>
      </c>
      <c r="G44" s="191"/>
    </row>
    <row r="45" spans="1:7" s="12" customFormat="1" ht="30" customHeight="1" x14ac:dyDescent="0.25">
      <c r="A45" s="352"/>
      <c r="B45" s="451"/>
      <c r="C45" s="353" t="s">
        <v>203</v>
      </c>
      <c r="D45" s="354"/>
      <c r="E45" s="28"/>
      <c r="F45" s="209" t="s">
        <v>371</v>
      </c>
      <c r="G45" s="191"/>
    </row>
    <row r="46" spans="1:7" s="12" customFormat="1" ht="30" customHeight="1" x14ac:dyDescent="0.25">
      <c r="A46" s="352"/>
      <c r="B46" s="451"/>
      <c r="C46" s="353" t="s">
        <v>532</v>
      </c>
      <c r="D46" s="354"/>
      <c r="E46" s="28"/>
      <c r="F46" s="180">
        <v>2470</v>
      </c>
      <c r="G46" s="191"/>
    </row>
    <row r="47" spans="1:7" s="12" customFormat="1" ht="15.75" customHeight="1" x14ac:dyDescent="0.25">
      <c r="A47" s="352"/>
      <c r="B47" s="451"/>
      <c r="C47" s="353" t="s">
        <v>112</v>
      </c>
      <c r="D47" s="354"/>
      <c r="E47" s="28"/>
      <c r="F47" s="180" t="s">
        <v>309</v>
      </c>
      <c r="G47" s="191"/>
    </row>
    <row r="48" spans="1:7" s="12" customFormat="1" ht="15.75" customHeight="1" x14ac:dyDescent="0.25">
      <c r="A48" s="352"/>
      <c r="B48" s="451"/>
      <c r="C48" s="353" t="s">
        <v>113</v>
      </c>
      <c r="D48" s="354"/>
      <c r="E48" s="28"/>
      <c r="F48" s="180" t="s">
        <v>343</v>
      </c>
      <c r="G48" s="191"/>
    </row>
    <row r="49" spans="1:7" s="12" customFormat="1" ht="15.75" customHeight="1" x14ac:dyDescent="0.25">
      <c r="A49" s="352"/>
      <c r="B49" s="451"/>
      <c r="C49" s="353" t="s">
        <v>114</v>
      </c>
      <c r="D49" s="354"/>
      <c r="E49" s="28"/>
      <c r="F49" s="180" t="s">
        <v>383</v>
      </c>
      <c r="G49" s="191"/>
    </row>
    <row r="50" spans="1:7" s="12" customFormat="1" ht="15.75" customHeight="1" thickBot="1" x14ac:dyDescent="0.3">
      <c r="A50" s="346"/>
      <c r="B50" s="452"/>
      <c r="C50" s="349" t="s">
        <v>115</v>
      </c>
      <c r="D50" s="350"/>
      <c r="E50" s="28"/>
      <c r="F50" s="184" t="s">
        <v>343</v>
      </c>
      <c r="G50" s="191"/>
    </row>
    <row r="51" spans="1:7" s="12" customFormat="1" ht="15" customHeight="1" x14ac:dyDescent="0.25">
      <c r="A51" s="22" t="s">
        <v>10</v>
      </c>
      <c r="B51" s="125" t="s">
        <v>62</v>
      </c>
      <c r="C51" s="347" t="s">
        <v>116</v>
      </c>
      <c r="D51" s="348"/>
      <c r="E51" s="28"/>
      <c r="F51" s="192">
        <v>1</v>
      </c>
      <c r="G51" s="191"/>
    </row>
    <row r="52" spans="1:7" s="12" customFormat="1" ht="15" customHeight="1" x14ac:dyDescent="0.25">
      <c r="A52" s="127"/>
      <c r="B52" s="128"/>
      <c r="C52" s="353" t="s">
        <v>117</v>
      </c>
      <c r="D52" s="354"/>
      <c r="E52" s="28"/>
      <c r="F52" s="180" t="s">
        <v>197</v>
      </c>
      <c r="G52" s="191"/>
    </row>
    <row r="53" spans="1:7" s="12" customFormat="1" ht="15.75" customHeight="1" thickBot="1" x14ac:dyDescent="0.3">
      <c r="A53" s="127"/>
      <c r="B53" s="128"/>
      <c r="C53" s="349" t="s">
        <v>71</v>
      </c>
      <c r="D53" s="350"/>
      <c r="E53" s="28"/>
      <c r="F53" s="179" t="s">
        <v>535</v>
      </c>
      <c r="G53" s="191"/>
    </row>
    <row r="54" spans="1:7" s="12" customFormat="1" ht="42.75" customHeight="1" thickBot="1" x14ac:dyDescent="0.3">
      <c r="A54" s="22" t="s">
        <v>185</v>
      </c>
      <c r="B54" s="125" t="s">
        <v>186</v>
      </c>
      <c r="C54" s="369" t="s">
        <v>187</v>
      </c>
      <c r="D54" s="370"/>
      <c r="E54" s="28"/>
      <c r="F54" s="192">
        <v>113</v>
      </c>
      <c r="G54" s="191"/>
    </row>
    <row r="55" spans="1:7" s="12" customFormat="1" ht="15" customHeight="1" x14ac:dyDescent="0.25">
      <c r="A55" s="22" t="s">
        <v>26</v>
      </c>
      <c r="B55" s="125" t="s">
        <v>560</v>
      </c>
      <c r="C55" s="347" t="s">
        <v>188</v>
      </c>
      <c r="D55" s="348"/>
      <c r="E55" s="28"/>
      <c r="F55" s="192">
        <v>1</v>
      </c>
      <c r="G55" s="191"/>
    </row>
    <row r="56" spans="1:7" s="12" customFormat="1" ht="15" customHeight="1" x14ac:dyDescent="0.25">
      <c r="A56" s="127"/>
      <c r="B56" s="128"/>
      <c r="C56" s="353" t="s">
        <v>189</v>
      </c>
      <c r="D56" s="354"/>
      <c r="E56" s="28"/>
      <c r="F56" s="180" t="s">
        <v>537</v>
      </c>
      <c r="G56" s="191"/>
    </row>
    <row r="57" spans="1:7" s="12" customFormat="1" ht="15.75" customHeight="1" thickBot="1" x14ac:dyDescent="0.3">
      <c r="A57" s="23"/>
      <c r="B57" s="124"/>
      <c r="C57" s="349" t="s">
        <v>190</v>
      </c>
      <c r="D57" s="350"/>
      <c r="E57" s="28"/>
      <c r="F57" s="184">
        <v>240</v>
      </c>
      <c r="G57" s="191"/>
    </row>
    <row r="58" spans="1:7" s="12" customFormat="1" ht="15.75" customHeight="1" thickBot="1" x14ac:dyDescent="0.3">
      <c r="A58" s="24" t="s">
        <v>44</v>
      </c>
      <c r="B58" s="126" t="s">
        <v>538</v>
      </c>
      <c r="C58" s="429"/>
      <c r="D58" s="430"/>
      <c r="E58" s="100"/>
      <c r="F58" s="196"/>
      <c r="G58" s="191"/>
    </row>
    <row r="59" spans="1:7" s="12" customFormat="1" ht="31.5" customHeight="1" thickBot="1" x14ac:dyDescent="0.3">
      <c r="A59" s="24" t="s">
        <v>44</v>
      </c>
      <c r="B59" s="126" t="s">
        <v>63</v>
      </c>
      <c r="C59" s="429"/>
      <c r="D59" s="430"/>
      <c r="E59" s="100"/>
      <c r="F59" s="196"/>
      <c r="G59" s="191"/>
    </row>
    <row r="60" spans="1:7" s="12" customFormat="1" ht="26.25" thickBot="1" x14ac:dyDescent="0.3">
      <c r="A60" s="24" t="s">
        <v>44</v>
      </c>
      <c r="B60" s="126" t="s">
        <v>64</v>
      </c>
      <c r="C60" s="429"/>
      <c r="D60" s="430"/>
      <c r="E60" s="100"/>
      <c r="F60" s="196"/>
      <c r="G60" s="191"/>
    </row>
    <row r="61" spans="1:7" s="12" customFormat="1" ht="15.75" customHeight="1" thickBot="1" x14ac:dyDescent="0.3">
      <c r="A61" s="24" t="s">
        <v>50</v>
      </c>
      <c r="B61" s="126" t="s">
        <v>65</v>
      </c>
      <c r="C61" s="429"/>
      <c r="D61" s="430"/>
      <c r="E61" s="100"/>
      <c r="F61" s="196"/>
      <c r="G61" s="191"/>
    </row>
    <row r="62" spans="1:7" s="12" customFormat="1" ht="15.75" customHeight="1" thickBot="1" x14ac:dyDescent="0.3">
      <c r="A62" s="24" t="s">
        <v>27</v>
      </c>
      <c r="B62" s="126"/>
      <c r="C62" s="369" t="s">
        <v>77</v>
      </c>
      <c r="D62" s="370"/>
      <c r="E62" s="28"/>
      <c r="F62" s="193" t="s">
        <v>349</v>
      </c>
      <c r="G62" s="191"/>
    </row>
    <row r="63" spans="1:7" s="12" customFormat="1" ht="31.5" customHeight="1" thickBot="1" x14ac:dyDescent="0.3">
      <c r="A63" s="24" t="s">
        <v>51</v>
      </c>
      <c r="B63" s="126" t="s">
        <v>79</v>
      </c>
      <c r="C63" s="429"/>
      <c r="D63" s="430"/>
      <c r="E63" s="100"/>
      <c r="F63" s="193"/>
      <c r="G63" s="191"/>
    </row>
    <row r="64" spans="1:7" s="12" customFormat="1" ht="42" customHeight="1" thickBot="1" x14ac:dyDescent="0.3">
      <c r="A64" s="24" t="s">
        <v>54</v>
      </c>
      <c r="B64" s="126" t="s">
        <v>80</v>
      </c>
      <c r="C64" s="429"/>
      <c r="D64" s="430"/>
      <c r="E64" s="100"/>
      <c r="F64" s="193"/>
      <c r="G64" s="191"/>
    </row>
    <row r="65" spans="1:7" s="12" customFormat="1" ht="39" thickBot="1" x14ac:dyDescent="0.3">
      <c r="A65" s="24" t="s">
        <v>29</v>
      </c>
      <c r="B65" s="126" t="s">
        <v>539</v>
      </c>
      <c r="C65" s="429"/>
      <c r="D65" s="430"/>
      <c r="E65" s="100"/>
      <c r="F65" s="193"/>
      <c r="G65" s="191"/>
    </row>
    <row r="66" spans="1:7" s="12" customFormat="1" ht="41.25" customHeight="1" thickBot="1" x14ac:dyDescent="0.3">
      <c r="A66" s="24" t="s">
        <v>31</v>
      </c>
      <c r="B66" s="126" t="s">
        <v>94</v>
      </c>
      <c r="C66" s="369" t="s">
        <v>30</v>
      </c>
      <c r="D66" s="370"/>
      <c r="E66" s="28"/>
      <c r="F66" s="193" t="s">
        <v>350</v>
      </c>
      <c r="G66" s="191"/>
    </row>
    <row r="67" spans="1:7" s="12" customFormat="1" ht="26.25" thickBot="1" x14ac:dyDescent="0.3">
      <c r="A67" s="24" t="s">
        <v>55</v>
      </c>
      <c r="B67" s="126" t="s">
        <v>95</v>
      </c>
      <c r="C67" s="429"/>
      <c r="D67" s="430"/>
      <c r="E67" s="100"/>
      <c r="F67" s="193" t="s">
        <v>456</v>
      </c>
      <c r="G67" s="191"/>
    </row>
    <row r="68" spans="1:7" s="12" customFormat="1" ht="26.25" thickBot="1" x14ac:dyDescent="0.3">
      <c r="A68" s="24" t="s">
        <v>32</v>
      </c>
      <c r="B68" s="126" t="s">
        <v>96</v>
      </c>
      <c r="C68" s="369" t="s">
        <v>30</v>
      </c>
      <c r="D68" s="370"/>
      <c r="E68" s="28"/>
      <c r="F68" s="193" t="s">
        <v>351</v>
      </c>
      <c r="G68" s="191"/>
    </row>
    <row r="69" spans="1:7" s="12" customFormat="1" ht="39" thickBot="1" x14ac:dyDescent="0.3">
      <c r="A69" s="24" t="s">
        <v>56</v>
      </c>
      <c r="B69" s="126" t="s">
        <v>540</v>
      </c>
      <c r="C69" s="429"/>
      <c r="D69" s="430"/>
      <c r="E69" s="100"/>
      <c r="F69" s="193"/>
      <c r="G69" s="191"/>
    </row>
    <row r="70" spans="1:7" s="12" customFormat="1" ht="30" customHeight="1" thickBot="1" x14ac:dyDescent="0.3">
      <c r="A70" s="24" t="s">
        <v>48</v>
      </c>
      <c r="B70" s="126" t="s">
        <v>541</v>
      </c>
      <c r="C70" s="429"/>
      <c r="D70" s="430"/>
      <c r="E70" s="100"/>
      <c r="F70" s="193"/>
      <c r="G70" s="191"/>
    </row>
    <row r="71" spans="1:7" s="12" customFormat="1" ht="41.45" customHeight="1" thickBot="1" x14ac:dyDescent="0.3">
      <c r="A71" s="24" t="s">
        <v>49</v>
      </c>
      <c r="B71" s="126" t="s">
        <v>103</v>
      </c>
      <c r="C71" s="395" t="s">
        <v>542</v>
      </c>
      <c r="D71" s="396"/>
      <c r="E71" s="100"/>
      <c r="F71" s="193" t="s">
        <v>543</v>
      </c>
      <c r="G71" s="191"/>
    </row>
    <row r="72" spans="1:7" s="12" customFormat="1" ht="26.25" thickBot="1" x14ac:dyDescent="0.3">
      <c r="A72" s="24" t="s">
        <v>46</v>
      </c>
      <c r="B72" s="126" t="s">
        <v>81</v>
      </c>
      <c r="C72" s="429"/>
      <c r="D72" s="430"/>
      <c r="E72" s="100"/>
      <c r="F72" s="193"/>
      <c r="G72" s="191"/>
    </row>
    <row r="73" spans="1:7" ht="13.5" thickBot="1" x14ac:dyDescent="0.25">
      <c r="F73" s="177"/>
      <c r="G73" s="177"/>
    </row>
    <row r="74" spans="1:7" s="15" customFormat="1" ht="18" customHeight="1" thickBot="1" x14ac:dyDescent="0.3">
      <c r="A74" s="435" t="s">
        <v>544</v>
      </c>
      <c r="B74" s="363"/>
      <c r="C74" s="363"/>
      <c r="D74" s="364"/>
      <c r="E74" s="99"/>
      <c r="F74" s="427" t="s">
        <v>591</v>
      </c>
      <c r="G74" s="428"/>
    </row>
    <row r="75" spans="1:7" s="3" customFormat="1" ht="30.75" customHeight="1" thickBot="1" x14ac:dyDescent="0.3">
      <c r="A75" s="18" t="s">
        <v>33</v>
      </c>
      <c r="B75" s="129" t="s">
        <v>7</v>
      </c>
      <c r="C75" s="431" t="s">
        <v>165</v>
      </c>
      <c r="D75" s="432"/>
      <c r="E75" s="33"/>
      <c r="F75" s="210" t="s">
        <v>184</v>
      </c>
      <c r="G75" s="211" t="s">
        <v>546</v>
      </c>
    </row>
    <row r="76" spans="1:7" s="12" customFormat="1" ht="42.75" customHeight="1" thickBot="1" x14ac:dyDescent="0.3">
      <c r="A76" s="17" t="s">
        <v>83</v>
      </c>
      <c r="B76" s="130" t="s">
        <v>146</v>
      </c>
      <c r="C76" s="433"/>
      <c r="D76" s="434"/>
      <c r="E76" s="100"/>
      <c r="F76" s="198"/>
      <c r="G76" s="303">
        <f>-1117.06*('PPI Adj'!H6)</f>
        <v>-1155.0400400000001</v>
      </c>
    </row>
    <row r="77" spans="1:7" s="12" customFormat="1" ht="27.75" customHeight="1" thickBot="1" x14ac:dyDescent="0.3">
      <c r="A77" s="24" t="s">
        <v>34</v>
      </c>
      <c r="B77" s="126" t="s">
        <v>547</v>
      </c>
      <c r="C77" s="369" t="s">
        <v>30</v>
      </c>
      <c r="D77" s="370"/>
      <c r="E77" s="28"/>
      <c r="F77" s="199" t="s">
        <v>352</v>
      </c>
      <c r="G77" s="200">
        <f>588.39*('PPI Adj'!H6)</f>
        <v>608.39526000000001</v>
      </c>
    </row>
    <row r="78" spans="1:7" s="12" customFormat="1" ht="39" thickBot="1" x14ac:dyDescent="0.3">
      <c r="A78" s="24" t="s">
        <v>35</v>
      </c>
      <c r="B78" s="126" t="s">
        <v>97</v>
      </c>
      <c r="C78" s="433"/>
      <c r="D78" s="434"/>
      <c r="E78" s="100"/>
      <c r="F78" s="199"/>
      <c r="G78" s="200">
        <f>288.67*('PPI Adj'!H6)</f>
        <v>298.48478</v>
      </c>
    </row>
    <row r="79" spans="1:7" s="12" customFormat="1" ht="39" thickBot="1" x14ac:dyDescent="0.3">
      <c r="A79" s="24" t="s">
        <v>36</v>
      </c>
      <c r="B79" s="126" t="s">
        <v>548</v>
      </c>
      <c r="C79" s="369" t="s">
        <v>99</v>
      </c>
      <c r="D79" s="370"/>
      <c r="E79" s="28"/>
      <c r="F79" s="199" t="s">
        <v>387</v>
      </c>
      <c r="G79" s="200">
        <f>320.74*('PPI Adj'!H6)</f>
        <v>331.64516000000003</v>
      </c>
    </row>
    <row r="80" spans="1:7" s="12" customFormat="1" ht="53.25" customHeight="1" x14ac:dyDescent="0.25">
      <c r="A80" s="22" t="s">
        <v>60</v>
      </c>
      <c r="B80" s="125" t="s">
        <v>549</v>
      </c>
      <c r="C80" s="347" t="s">
        <v>203</v>
      </c>
      <c r="D80" s="348"/>
      <c r="E80" s="28"/>
      <c r="F80" s="201" t="s">
        <v>371</v>
      </c>
      <c r="G80" s="302">
        <f>1201.12*('PPI Adj'!H6)</f>
        <v>1241.9580799999999</v>
      </c>
    </row>
    <row r="81" spans="1:7" s="12" customFormat="1" ht="27.75" customHeight="1" x14ac:dyDescent="0.25">
      <c r="A81" s="127"/>
      <c r="B81" s="128"/>
      <c r="C81" s="353" t="s">
        <v>550</v>
      </c>
      <c r="D81" s="354"/>
      <c r="E81" s="28"/>
      <c r="F81" s="203">
        <v>2470</v>
      </c>
      <c r="G81" s="304"/>
    </row>
    <row r="82" spans="1:7" s="12" customFormat="1" ht="15" customHeight="1" x14ac:dyDescent="0.25">
      <c r="A82" s="127"/>
      <c r="B82" s="128"/>
      <c r="C82" s="436" t="s">
        <v>114</v>
      </c>
      <c r="D82" s="437"/>
      <c r="E82" s="28"/>
      <c r="F82" s="203" t="s">
        <v>355</v>
      </c>
      <c r="G82" s="304"/>
    </row>
    <row r="83" spans="1:7" s="12" customFormat="1" ht="15.75" customHeight="1" thickBot="1" x14ac:dyDescent="0.3">
      <c r="A83" s="23"/>
      <c r="B83" s="124"/>
      <c r="C83" s="349" t="s">
        <v>115</v>
      </c>
      <c r="D83" s="350"/>
      <c r="E83" s="28"/>
      <c r="F83" s="198" t="s">
        <v>356</v>
      </c>
      <c r="G83" s="303"/>
    </row>
    <row r="84" spans="1:7" s="12" customFormat="1" ht="51.75" customHeight="1" x14ac:dyDescent="0.25">
      <c r="A84" s="22" t="s">
        <v>61</v>
      </c>
      <c r="B84" s="125" t="s">
        <v>551</v>
      </c>
      <c r="C84" s="438" t="s">
        <v>205</v>
      </c>
      <c r="D84" s="439"/>
      <c r="E84" s="28"/>
      <c r="F84" s="201" t="s">
        <v>371</v>
      </c>
      <c r="G84" s="302">
        <f>1685.54*('PPI Adj'!H6)</f>
        <v>1742.84836</v>
      </c>
    </row>
    <row r="85" spans="1:7" s="12" customFormat="1" ht="29.25" customHeight="1" x14ac:dyDescent="0.25">
      <c r="A85" s="127"/>
      <c r="B85" s="128"/>
      <c r="C85" s="436" t="s">
        <v>531</v>
      </c>
      <c r="D85" s="437"/>
      <c r="E85" s="28"/>
      <c r="F85" s="206">
        <v>2680</v>
      </c>
      <c r="G85" s="304"/>
    </row>
    <row r="86" spans="1:7" s="12" customFormat="1" ht="52.5" customHeight="1" x14ac:dyDescent="0.25">
      <c r="A86" s="127"/>
      <c r="B86" s="128"/>
      <c r="C86" s="436" t="s">
        <v>203</v>
      </c>
      <c r="D86" s="437"/>
      <c r="E86" s="28"/>
      <c r="F86" s="206" t="s">
        <v>371</v>
      </c>
      <c r="G86" s="304"/>
    </row>
    <row r="87" spans="1:7" s="12" customFormat="1" ht="29.25" customHeight="1" x14ac:dyDescent="0.25">
      <c r="A87" s="127"/>
      <c r="B87" s="128"/>
      <c r="C87" s="436" t="s">
        <v>550</v>
      </c>
      <c r="D87" s="437"/>
      <c r="E87" s="28"/>
      <c r="F87" s="203">
        <v>2470</v>
      </c>
      <c r="G87" s="304"/>
    </row>
    <row r="88" spans="1:7" s="12" customFormat="1" ht="15" customHeight="1" x14ac:dyDescent="0.25">
      <c r="A88" s="127"/>
      <c r="B88" s="128"/>
      <c r="C88" s="436" t="s">
        <v>112</v>
      </c>
      <c r="D88" s="437"/>
      <c r="E88" s="28"/>
      <c r="F88" s="203" t="s">
        <v>309</v>
      </c>
      <c r="G88" s="304"/>
    </row>
    <row r="89" spans="1:7" s="12" customFormat="1" ht="15" customHeight="1" x14ac:dyDescent="0.25">
      <c r="A89" s="127"/>
      <c r="B89" s="128"/>
      <c r="C89" s="436" t="s">
        <v>113</v>
      </c>
      <c r="D89" s="437"/>
      <c r="E89" s="28"/>
      <c r="F89" s="206" t="s">
        <v>359</v>
      </c>
      <c r="G89" s="304"/>
    </row>
    <row r="90" spans="1:7" s="12" customFormat="1" ht="15" customHeight="1" x14ac:dyDescent="0.25">
      <c r="A90" s="127"/>
      <c r="B90" s="128"/>
      <c r="C90" s="436" t="s">
        <v>114</v>
      </c>
      <c r="D90" s="437"/>
      <c r="E90" s="28"/>
      <c r="F90" s="206" t="s">
        <v>383</v>
      </c>
      <c r="G90" s="304"/>
    </row>
    <row r="91" spans="1:7" s="12" customFormat="1" ht="15.75" customHeight="1" thickBot="1" x14ac:dyDescent="0.3">
      <c r="A91" s="23"/>
      <c r="B91" s="124"/>
      <c r="C91" s="349" t="s">
        <v>115</v>
      </c>
      <c r="D91" s="350"/>
      <c r="E91" s="28"/>
      <c r="F91" s="198" t="s">
        <v>359</v>
      </c>
      <c r="G91" s="303"/>
    </row>
    <row r="92" spans="1:7" s="12" customFormat="1" ht="131.25" customHeight="1" thickBot="1" x14ac:dyDescent="0.3">
      <c r="A92" s="16" t="s">
        <v>86</v>
      </c>
      <c r="B92" s="131" t="s">
        <v>143</v>
      </c>
      <c r="C92" s="369" t="s">
        <v>104</v>
      </c>
      <c r="D92" s="370"/>
      <c r="E92" s="28"/>
      <c r="F92" s="201" t="s">
        <v>360</v>
      </c>
      <c r="G92" s="200">
        <f>946.74*('PPI Adj'!H6)</f>
        <v>978.92916000000002</v>
      </c>
    </row>
    <row r="93" spans="1:7" ht="50.65" customHeight="1" x14ac:dyDescent="0.2">
      <c r="A93" s="22" t="s">
        <v>13</v>
      </c>
      <c r="B93" s="125" t="s">
        <v>98</v>
      </c>
      <c r="C93" s="347" t="s">
        <v>30</v>
      </c>
      <c r="D93" s="348"/>
      <c r="E93" s="28"/>
      <c r="F93" s="201" t="s">
        <v>361</v>
      </c>
      <c r="G93" s="302">
        <f>11945.91*('PPI Adj'!H6)</f>
        <v>12352.07094</v>
      </c>
    </row>
    <row r="94" spans="1:7" ht="18" customHeight="1" thickBot="1" x14ac:dyDescent="0.25">
      <c r="A94" s="23"/>
      <c r="B94" s="124"/>
      <c r="C94" s="349" t="s">
        <v>109</v>
      </c>
      <c r="D94" s="350"/>
      <c r="E94" s="28"/>
      <c r="F94" s="198" t="s">
        <v>362</v>
      </c>
      <c r="G94" s="303"/>
    </row>
    <row r="95" spans="1:7" ht="64.5" thickBot="1" x14ac:dyDescent="0.25">
      <c r="A95" s="24" t="s">
        <v>37</v>
      </c>
      <c r="B95" s="126" t="s">
        <v>135</v>
      </c>
      <c r="C95" s="395" t="s">
        <v>561</v>
      </c>
      <c r="D95" s="396"/>
      <c r="E95" s="100"/>
      <c r="F95" s="198" t="s">
        <v>378</v>
      </c>
      <c r="G95" s="303">
        <f>553*('PPI Adj'!H6)</f>
        <v>571.80200000000002</v>
      </c>
    </row>
    <row r="96" spans="1:7" ht="26.25" thickBot="1" x14ac:dyDescent="0.25">
      <c r="A96" s="24" t="s">
        <v>38</v>
      </c>
      <c r="B96" s="126" t="s">
        <v>87</v>
      </c>
      <c r="C96" s="429"/>
      <c r="D96" s="430"/>
      <c r="E96" s="100"/>
      <c r="F96" s="199"/>
      <c r="G96" s="200">
        <f>732.17*('PPI Adj'!H6)</f>
        <v>757.06377999999995</v>
      </c>
    </row>
    <row r="97" spans="1:10" ht="26.25" thickBot="1" x14ac:dyDescent="0.25">
      <c r="A97" s="24" t="s">
        <v>39</v>
      </c>
      <c r="B97" s="126" t="s">
        <v>106</v>
      </c>
      <c r="C97" s="369" t="s">
        <v>105</v>
      </c>
      <c r="D97" s="370"/>
      <c r="E97" s="28"/>
      <c r="F97" s="199" t="s">
        <v>207</v>
      </c>
      <c r="G97" s="200">
        <f>975.49*('PPI Adj'!H6)</f>
        <v>1008.65666</v>
      </c>
    </row>
    <row r="98" spans="1:10" ht="44.45" customHeight="1" thickBot="1" x14ac:dyDescent="0.25">
      <c r="A98" s="24" t="s">
        <v>90</v>
      </c>
      <c r="B98" s="126" t="s">
        <v>129</v>
      </c>
      <c r="C98" s="395" t="s">
        <v>552</v>
      </c>
      <c r="D98" s="396"/>
      <c r="E98" s="100"/>
      <c r="F98" s="199" t="s">
        <v>457</v>
      </c>
      <c r="G98" s="200">
        <f>436.73*('PPI Adj'!H6)</f>
        <v>451.57882000000001</v>
      </c>
    </row>
    <row r="99" spans="1:10" ht="43.5" customHeight="1" thickBot="1" x14ac:dyDescent="0.25">
      <c r="A99" s="24" t="s">
        <v>40</v>
      </c>
      <c r="B99" s="126" t="s">
        <v>137</v>
      </c>
      <c r="C99" s="369" t="s">
        <v>100</v>
      </c>
      <c r="D99" s="370"/>
      <c r="E99" s="28"/>
      <c r="F99" s="199" t="s">
        <v>363</v>
      </c>
      <c r="G99" s="200">
        <f>225.62*('PPI Adj'!H6)</f>
        <v>233.29108000000002</v>
      </c>
    </row>
    <row r="100" spans="1:10" ht="40.15" customHeight="1" x14ac:dyDescent="0.2">
      <c r="A100" s="22" t="s">
        <v>14</v>
      </c>
      <c r="B100" s="125" t="s">
        <v>138</v>
      </c>
      <c r="C100" s="438" t="s">
        <v>139</v>
      </c>
      <c r="D100" s="439"/>
      <c r="E100" s="28"/>
      <c r="F100" s="212" t="s">
        <v>562</v>
      </c>
      <c r="G100" s="302">
        <f>13611.29*('PPI Adj'!H6)</f>
        <v>14074.07386</v>
      </c>
    </row>
    <row r="101" spans="1:10" ht="57" customHeight="1" thickBot="1" x14ac:dyDescent="0.25">
      <c r="A101" s="23"/>
      <c r="B101" s="124"/>
      <c r="C101" s="349" t="s">
        <v>274</v>
      </c>
      <c r="D101" s="350"/>
      <c r="E101" s="28"/>
      <c r="F101" s="213"/>
      <c r="G101" s="303"/>
    </row>
    <row r="102" spans="1:10" ht="68.25" customHeight="1" thickBot="1" x14ac:dyDescent="0.25">
      <c r="A102" s="24" t="s">
        <v>91</v>
      </c>
      <c r="B102" s="126" t="s">
        <v>144</v>
      </c>
      <c r="C102" s="369" t="s">
        <v>100</v>
      </c>
      <c r="D102" s="370"/>
      <c r="E102" s="28"/>
      <c r="F102" s="199" t="s">
        <v>364</v>
      </c>
      <c r="G102" s="200">
        <f>2179.93*('PPI Adj'!H6)</f>
        <v>2254.0476199999998</v>
      </c>
    </row>
    <row r="103" spans="1:10" ht="51.75" thickBot="1" x14ac:dyDescent="0.25">
      <c r="A103" s="24" t="s">
        <v>92</v>
      </c>
      <c r="B103" s="126" t="s">
        <v>145</v>
      </c>
      <c r="C103" s="429"/>
      <c r="D103" s="430"/>
      <c r="E103" s="100"/>
      <c r="F103" s="199"/>
      <c r="G103" s="200">
        <f>-2237.44*('PPI Adj'!H6)</f>
        <v>-2313.51296</v>
      </c>
    </row>
    <row r="104" spans="1:10" ht="13.5" thickBot="1" x14ac:dyDescent="0.25">
      <c r="F104" s="177"/>
      <c r="G104" s="177"/>
    </row>
    <row r="105" spans="1:10" s="15" customFormat="1" ht="31.5" customHeight="1" thickBot="1" x14ac:dyDescent="0.3">
      <c r="A105" s="362" t="s">
        <v>590</v>
      </c>
      <c r="B105" s="363"/>
      <c r="C105" s="363"/>
      <c r="D105" s="364"/>
      <c r="E105" s="99"/>
      <c r="F105" s="427" t="s">
        <v>591</v>
      </c>
      <c r="G105" s="428"/>
    </row>
    <row r="106" spans="1:10" s="15" customFormat="1" ht="24.75" customHeight="1" thickBot="1" x14ac:dyDescent="0.3">
      <c r="A106" s="426" t="s">
        <v>570</v>
      </c>
      <c r="B106" s="453"/>
      <c r="C106" s="453"/>
      <c r="D106" s="453"/>
      <c r="E106" s="99"/>
      <c r="F106" s="415" t="s">
        <v>184</v>
      </c>
      <c r="G106" s="417" t="s">
        <v>546</v>
      </c>
      <c r="H106" s="99"/>
      <c r="I106" s="99"/>
      <c r="J106" s="99"/>
    </row>
    <row r="107" spans="1:10" ht="26.25" customHeight="1" thickBot="1" x14ac:dyDescent="0.25">
      <c r="A107" s="46" t="s">
        <v>33</v>
      </c>
      <c r="B107" s="132" t="s">
        <v>7</v>
      </c>
      <c r="C107" s="431" t="s">
        <v>165</v>
      </c>
      <c r="D107" s="432"/>
      <c r="E107" s="33"/>
      <c r="F107" s="424"/>
      <c r="G107" s="425"/>
      <c r="I107" s="9"/>
    </row>
    <row r="108" spans="1:10" ht="147" customHeight="1" thickBot="1" x14ac:dyDescent="0.25">
      <c r="A108" s="133" t="s">
        <v>85</v>
      </c>
      <c r="B108" s="134" t="s">
        <v>170</v>
      </c>
      <c r="C108" s="353" t="s">
        <v>104</v>
      </c>
      <c r="D108" s="354"/>
      <c r="E108" s="12"/>
      <c r="F108" s="198" t="s">
        <v>360</v>
      </c>
      <c r="G108" s="303">
        <f>6663.08*('PPI Adj'!H6)</f>
        <v>6889.6247199999998</v>
      </c>
      <c r="I108" s="9"/>
    </row>
    <row r="109" spans="1:10" ht="80.25" customHeight="1" x14ac:dyDescent="0.2">
      <c r="A109" s="135" t="s">
        <v>20</v>
      </c>
      <c r="B109" s="136" t="s">
        <v>593</v>
      </c>
      <c r="C109" s="454"/>
      <c r="D109" s="455"/>
      <c r="E109" s="111"/>
      <c r="F109" s="214"/>
      <c r="G109" s="215">
        <f>1741*('PPI Adj'!H6)</f>
        <v>1800.194</v>
      </c>
      <c r="I109" s="9"/>
    </row>
    <row r="110" spans="1:10" ht="26.25" thickBot="1" x14ac:dyDescent="0.25">
      <c r="A110" s="137" t="s">
        <v>82</v>
      </c>
      <c r="B110" s="138" t="s">
        <v>130</v>
      </c>
      <c r="C110" s="456"/>
      <c r="D110" s="457"/>
      <c r="E110" s="100"/>
      <c r="F110" s="198"/>
      <c r="G110" s="303">
        <f>1071*('PPI Adj'!H6)</f>
        <v>1107.414</v>
      </c>
    </row>
    <row r="111" spans="1:10" ht="39" thickBot="1" x14ac:dyDescent="0.25">
      <c r="A111" s="139" t="s">
        <v>272</v>
      </c>
      <c r="B111" s="140" t="s">
        <v>554</v>
      </c>
      <c r="C111" s="433"/>
      <c r="D111" s="434"/>
      <c r="E111" s="28"/>
      <c r="F111" s="199"/>
      <c r="G111" s="200"/>
      <c r="H111" s="141"/>
      <c r="I111" s="142"/>
    </row>
  </sheetData>
  <sheetProtection algorithmName="SHA-512" hashValue="FFkHa95C4gWxBqJWRA6vNgrA1d9GJ3YZeJeVo9R+NLdIP4K6b/qQRb/5pL178++GCQzq6wKg93wSj421x4/ruw==" saltValue="Z9hajJMipG2ICpO5jhgtmg==" spinCount="100000" sheet="1" objects="1" scenarios="1"/>
  <dataConsolidate/>
  <mergeCells count="100">
    <mergeCell ref="C111:D111"/>
    <mergeCell ref="C107:D107"/>
    <mergeCell ref="F106:F107"/>
    <mergeCell ref="C108:D108"/>
    <mergeCell ref="C109:D109"/>
    <mergeCell ref="C110:D110"/>
    <mergeCell ref="C100:D100"/>
    <mergeCell ref="A106:D106"/>
    <mergeCell ref="A105:D105"/>
    <mergeCell ref="C101:D101"/>
    <mergeCell ref="C102:D102"/>
    <mergeCell ref="C103:D103"/>
    <mergeCell ref="C95:D95"/>
    <mergeCell ref="C96:D96"/>
    <mergeCell ref="C97:D97"/>
    <mergeCell ref="C98:D98"/>
    <mergeCell ref="C99:D99"/>
    <mergeCell ref="C90:D90"/>
    <mergeCell ref="C91:D91"/>
    <mergeCell ref="C92:D92"/>
    <mergeCell ref="C93:D93"/>
    <mergeCell ref="C94:D94"/>
    <mergeCell ref="C85:D85"/>
    <mergeCell ref="C86:D86"/>
    <mergeCell ref="C87:D87"/>
    <mergeCell ref="C88:D88"/>
    <mergeCell ref="C89:D89"/>
    <mergeCell ref="C66:D66"/>
    <mergeCell ref="C67:D67"/>
    <mergeCell ref="C68:D68"/>
    <mergeCell ref="C69:D69"/>
    <mergeCell ref="C81:D81"/>
    <mergeCell ref="C61:D61"/>
    <mergeCell ref="C62:D62"/>
    <mergeCell ref="C63:D63"/>
    <mergeCell ref="C64:D64"/>
    <mergeCell ref="C65:D65"/>
    <mergeCell ref="C56:D56"/>
    <mergeCell ref="C57:D57"/>
    <mergeCell ref="C58:D58"/>
    <mergeCell ref="C59:D59"/>
    <mergeCell ref="C60:D60"/>
    <mergeCell ref="C51:D51"/>
    <mergeCell ref="C53:D53"/>
    <mergeCell ref="C52:D52"/>
    <mergeCell ref="C54:D54"/>
    <mergeCell ref="C55:D55"/>
    <mergeCell ref="C37:D37"/>
    <mergeCell ref="C38:D38"/>
    <mergeCell ref="C39:D39"/>
    <mergeCell ref="A43:A50"/>
    <mergeCell ref="B43:B50"/>
    <mergeCell ref="C41:D41"/>
    <mergeCell ref="C40:D40"/>
    <mergeCell ref="C42:D42"/>
    <mergeCell ref="C43:D43"/>
    <mergeCell ref="C44:D44"/>
    <mergeCell ref="C45:D45"/>
    <mergeCell ref="C46:D46"/>
    <mergeCell ref="C47:D47"/>
    <mergeCell ref="C48:D48"/>
    <mergeCell ref="C49:D49"/>
    <mergeCell ref="C50:D50"/>
    <mergeCell ref="C32:D32"/>
    <mergeCell ref="C33:D33"/>
    <mergeCell ref="C34:D34"/>
    <mergeCell ref="C35:D35"/>
    <mergeCell ref="C36:D36"/>
    <mergeCell ref="C28:D28"/>
    <mergeCell ref="C29:D29"/>
    <mergeCell ref="C30:D30"/>
    <mergeCell ref="C31:D31"/>
    <mergeCell ref="B24:D24"/>
    <mergeCell ref="A27:D27"/>
    <mergeCell ref="A3:D3"/>
    <mergeCell ref="A4:D4"/>
    <mergeCell ref="A6:D6"/>
    <mergeCell ref="A21:D21"/>
    <mergeCell ref="B23:D23"/>
    <mergeCell ref="B9:D9"/>
    <mergeCell ref="B13:D13"/>
    <mergeCell ref="B17:D17"/>
    <mergeCell ref="B18:D18"/>
    <mergeCell ref="B19:D19"/>
    <mergeCell ref="F74:G74"/>
    <mergeCell ref="F105:G105"/>
    <mergeCell ref="G106:G107"/>
    <mergeCell ref="C70:D70"/>
    <mergeCell ref="C71:D71"/>
    <mergeCell ref="C72:D72"/>
    <mergeCell ref="C75:D75"/>
    <mergeCell ref="C76:D76"/>
    <mergeCell ref="C77:D77"/>
    <mergeCell ref="C78:D78"/>
    <mergeCell ref="C79:D79"/>
    <mergeCell ref="C80:D80"/>
    <mergeCell ref="A74:D74"/>
    <mergeCell ref="C82:D82"/>
    <mergeCell ref="C83:D83"/>
    <mergeCell ref="C84:D84"/>
  </mergeCells>
  <conditionalFormatting sqref="F8:F19">
    <cfRule type="expression" dxfId="135" priority="7">
      <formula>#REF!="NO"</formula>
    </cfRule>
  </conditionalFormatting>
  <conditionalFormatting sqref="F23:F24 E29:F70 C29:C72 F71 E72:F72 E76:G97 C76:C103 F98:G98 E99:G100 E102:G103 E108:F108 C108:C111 E110:G110 E111:I111">
    <cfRule type="expression" dxfId="134" priority="5">
      <formula>#REF!="NO"</formula>
    </cfRule>
  </conditionalFormatting>
  <conditionalFormatting sqref="F109">
    <cfRule type="expression" dxfId="133" priority="4">
      <formula>#REF!="NO"</formula>
    </cfRule>
  </conditionalFormatting>
  <conditionalFormatting sqref="G108:G109">
    <cfRule type="expression" dxfId="132" priority="3">
      <formula>#REF!="NO"</formula>
    </cfRule>
  </conditionalFormatting>
  <dataValidations count="4">
    <dataValidation type="decimal" allowBlank="1" showInputMessage="1" showErrorMessage="1" error="Invalid Entry - Bidder must enter a value that is greater than $0" sqref="F23" xr:uid="{84F836B2-9C5D-413A-81BF-CE99FC04F3DE}">
      <formula1>0</formula1>
      <formula2>9E+21</formula2>
    </dataValidation>
    <dataValidation type="decimal" allowBlank="1" showInputMessage="1" showErrorMessage="1" error="The Additional Options NYS Discount entered must be greater than 0%, or less than or equal to 100%." sqref="F24" xr:uid="{98420FBB-92E9-4CA3-81C9-9894EFDFD839}">
      <formula1>0.01</formula1>
      <formula2>100</formula2>
    </dataValidation>
    <dataValidation type="list" allowBlank="1" showInputMessage="1" showErrorMessage="1" errorTitle="Error" error="Invalid Entry – Bidder must enter YES in uppercase or refrain from answering." sqref="C42 C72 C103 C32 C96 C78 C69:C70 C76 C58:C61 C63:C65 C67 C109:C111" xr:uid="{1D8A19AA-7F16-4027-999E-E1A0206CD001}">
      <formula1>"YES, NO"</formula1>
    </dataValidation>
    <dataValidation type="decimal" operator="greaterThanOrEqual" allowBlank="1" showInputMessage="1" showErrorMessage="1" error="The Pickup Allowance cannot be a negative number." sqref="F18" xr:uid="{C7412CB9-B292-492D-BCA1-1EBCA9EBC4E8}">
      <formula1>0</formula1>
    </dataValidation>
  </dataValidations>
  <pageMargins left="0.25" right="0.25" top="0.75" bottom="0.25" header="0.3" footer="0.3"/>
  <pageSetup scale="56"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5599E-B019-4681-8365-804B3E1A1950}">
  <sheetPr codeName="Sheet5">
    <tabColor rgb="FFCC66FF"/>
    <pageSetUpPr autoPageBreaks="0" fitToPage="1"/>
  </sheetPr>
  <dimension ref="A1:G130"/>
  <sheetViews>
    <sheetView showGridLines="0" zoomScaleNormal="100" zoomScaleSheetLayoutView="85"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0.7109375" style="5" customWidth="1"/>
    <col min="7" max="7" width="2.7109375" style="2" customWidth="1"/>
    <col min="8" max="16384" width="9.140625" style="2"/>
  </cols>
  <sheetData>
    <row r="1" spans="1:7" customFormat="1" ht="15" x14ac:dyDescent="0.25">
      <c r="A1" s="245" t="str">
        <f>'A (Item 2-G)'!$A$1</f>
        <v>GROUP 40524-23254, SCHOOL BUSES (Statewide)                                                             Attachment 1 - Specifications and Pricing (Revised October 15, 2026)</v>
      </c>
      <c r="B1" s="2"/>
      <c r="C1" s="2"/>
      <c r="D1" s="2"/>
      <c r="E1" s="2"/>
    </row>
    <row r="2" spans="1:7" customFormat="1" ht="15.75" thickBot="1" x14ac:dyDescent="0.3">
      <c r="A2" s="305" t="str">
        <f>'Attachment 1 - Summary'!B2</f>
        <v>PC69862 Matthews Buses, Inc.</v>
      </c>
      <c r="B2" s="20"/>
      <c r="C2" s="20"/>
      <c r="D2" s="20"/>
    </row>
    <row r="3" spans="1:7" ht="24" thickBot="1" x14ac:dyDescent="0.25">
      <c r="A3" s="326" t="s">
        <v>291</v>
      </c>
      <c r="B3" s="327"/>
      <c r="C3" s="327"/>
      <c r="D3" s="328"/>
      <c r="E3" s="8"/>
      <c r="F3" s="8"/>
      <c r="G3" s="8"/>
    </row>
    <row r="4" spans="1:7" ht="51" customHeight="1" thickBot="1" x14ac:dyDescent="0.25">
      <c r="A4" s="329" t="s">
        <v>290</v>
      </c>
      <c r="B4" s="330"/>
      <c r="C4" s="330"/>
      <c r="D4" s="331"/>
      <c r="E4" s="8"/>
      <c r="F4" s="8"/>
      <c r="G4" s="8"/>
    </row>
    <row r="5" spans="1:7" s="4" customFormat="1" ht="11.25" customHeight="1" thickBot="1" x14ac:dyDescent="0.3">
      <c r="A5" s="332"/>
      <c r="B5" s="333"/>
      <c r="C5" s="333"/>
      <c r="D5" s="334"/>
      <c r="E5" s="334"/>
    </row>
    <row r="6" spans="1:7" s="7" customFormat="1" ht="32.25" thickBot="1" x14ac:dyDescent="0.25">
      <c r="A6" s="335" t="s">
        <v>151</v>
      </c>
      <c r="B6" s="336"/>
      <c r="C6" s="336"/>
      <c r="D6" s="337"/>
      <c r="E6" s="30"/>
      <c r="F6" s="208" t="s">
        <v>332</v>
      </c>
      <c r="G6" s="30"/>
    </row>
    <row r="7" spans="1:7" s="4" customFormat="1" ht="15" customHeight="1" thickBot="1" x14ac:dyDescent="0.3">
      <c r="A7" s="35" t="s">
        <v>6</v>
      </c>
      <c r="B7" s="21" t="s">
        <v>165</v>
      </c>
      <c r="C7" s="26"/>
      <c r="D7" s="34"/>
      <c r="E7" s="31"/>
      <c r="F7" s="246" t="s">
        <v>17</v>
      </c>
      <c r="G7" s="31"/>
    </row>
    <row r="8" spans="1:7" ht="52.5" thickTop="1" thickBot="1" x14ac:dyDescent="0.25">
      <c r="A8" s="36" t="s">
        <v>9</v>
      </c>
      <c r="B8" s="323" t="s">
        <v>152</v>
      </c>
      <c r="C8" s="324"/>
      <c r="D8" s="325"/>
      <c r="E8" s="12"/>
      <c r="F8" s="178" t="s">
        <v>381</v>
      </c>
      <c r="G8" s="12"/>
    </row>
    <row r="9" spans="1:7" s="7" customFormat="1" ht="39.75" customHeight="1" thickTop="1" thickBot="1" x14ac:dyDescent="0.25">
      <c r="A9" s="36" t="s">
        <v>136</v>
      </c>
      <c r="B9" s="323" t="s">
        <v>191</v>
      </c>
      <c r="C9" s="324"/>
      <c r="D9" s="325"/>
      <c r="E9" s="12"/>
      <c r="F9" s="178" t="s">
        <v>388</v>
      </c>
      <c r="G9" s="12"/>
    </row>
    <row r="10" spans="1:7" ht="12.75" customHeight="1" thickTop="1" x14ac:dyDescent="0.2">
      <c r="A10" s="37" t="s">
        <v>0</v>
      </c>
      <c r="B10" s="314" t="s">
        <v>154</v>
      </c>
      <c r="C10" s="315"/>
      <c r="D10" s="316"/>
      <c r="E10" s="12"/>
      <c r="F10" s="180" t="s">
        <v>305</v>
      </c>
      <c r="G10" s="12"/>
    </row>
    <row r="11" spans="1:7" x14ac:dyDescent="0.2">
      <c r="A11" s="37" t="s">
        <v>1</v>
      </c>
      <c r="B11" s="314" t="s">
        <v>153</v>
      </c>
      <c r="C11" s="315"/>
      <c r="D11" s="316"/>
      <c r="E11" s="12"/>
      <c r="F11" s="180">
        <v>4500</v>
      </c>
      <c r="G11" s="12"/>
    </row>
    <row r="12" spans="1:7" ht="15.6" customHeight="1" thickBot="1" x14ac:dyDescent="0.25">
      <c r="A12" s="38" t="s">
        <v>2</v>
      </c>
      <c r="B12" s="317" t="s">
        <v>155</v>
      </c>
      <c r="C12" s="318"/>
      <c r="D12" s="319"/>
      <c r="E12" s="12"/>
      <c r="F12" s="181" t="s">
        <v>389</v>
      </c>
      <c r="G12" s="12"/>
    </row>
    <row r="13" spans="1:7" ht="13.5" thickTop="1" x14ac:dyDescent="0.2">
      <c r="A13" s="37" t="s">
        <v>3</v>
      </c>
      <c r="B13" s="314" t="s">
        <v>157</v>
      </c>
      <c r="C13" s="315"/>
      <c r="D13" s="316"/>
      <c r="E13" s="12"/>
      <c r="F13" s="180" t="s">
        <v>337</v>
      </c>
      <c r="G13" s="12"/>
    </row>
    <row r="14" spans="1:7" x14ac:dyDescent="0.2">
      <c r="A14" s="37" t="s">
        <v>4</v>
      </c>
      <c r="B14" s="314" t="s">
        <v>156</v>
      </c>
      <c r="C14" s="315"/>
      <c r="D14" s="316"/>
      <c r="E14" s="12"/>
      <c r="F14" s="180" t="s">
        <v>338</v>
      </c>
      <c r="G14" s="12"/>
    </row>
    <row r="15" spans="1:7" ht="15.75" customHeight="1" thickBot="1" x14ac:dyDescent="0.25">
      <c r="A15" s="39" t="s">
        <v>5</v>
      </c>
      <c r="B15" s="317" t="s">
        <v>158</v>
      </c>
      <c r="C15" s="318"/>
      <c r="D15" s="319"/>
      <c r="E15" s="12"/>
      <c r="F15" s="182" t="s">
        <v>390</v>
      </c>
      <c r="G15" s="12"/>
    </row>
    <row r="16" spans="1:7" ht="29.25" customHeight="1" thickTop="1" x14ac:dyDescent="0.2">
      <c r="A16" s="37" t="s">
        <v>101</v>
      </c>
      <c r="B16" s="320" t="s">
        <v>160</v>
      </c>
      <c r="C16" s="321"/>
      <c r="D16" s="322"/>
      <c r="E16" s="12"/>
      <c r="F16" s="183">
        <v>100</v>
      </c>
      <c r="G16" s="12"/>
    </row>
    <row r="17" spans="1:7" ht="30.75" customHeight="1" thickBot="1" x14ac:dyDescent="0.25">
      <c r="A17" s="39" t="s">
        <v>43</v>
      </c>
      <c r="B17" s="317" t="s">
        <v>159</v>
      </c>
      <c r="C17" s="318"/>
      <c r="D17" s="319"/>
      <c r="E17" s="12"/>
      <c r="F17" s="182">
        <v>210</v>
      </c>
      <c r="G17" s="12"/>
    </row>
    <row r="18" spans="1:7" s="9" customFormat="1" ht="14.25" thickTop="1" thickBot="1" x14ac:dyDescent="0.25">
      <c r="C18" s="10"/>
      <c r="D18" s="10"/>
      <c r="E18" s="10"/>
      <c r="F18" s="185"/>
      <c r="G18" s="10"/>
    </row>
    <row r="19" spans="1:7" s="11" customFormat="1" ht="32.25" thickBot="1" x14ac:dyDescent="0.25">
      <c r="A19" s="335" t="s">
        <v>150</v>
      </c>
      <c r="B19" s="336"/>
      <c r="C19" s="336"/>
      <c r="D19" s="337"/>
      <c r="E19" s="30"/>
      <c r="F19" s="208" t="s">
        <v>332</v>
      </c>
      <c r="G19" s="30"/>
    </row>
    <row r="20" spans="1:7" s="4" customFormat="1" ht="15" customHeight="1" thickBot="1" x14ac:dyDescent="0.3">
      <c r="A20" s="49" t="s">
        <v>6</v>
      </c>
      <c r="B20" s="25" t="s">
        <v>165</v>
      </c>
      <c r="C20" s="27"/>
      <c r="D20" s="42"/>
      <c r="E20" s="31"/>
      <c r="F20" s="246" t="s">
        <v>17</v>
      </c>
      <c r="G20" s="31"/>
    </row>
    <row r="21" spans="1:7" ht="56.25" customHeight="1" x14ac:dyDescent="0.2">
      <c r="A21" s="40" t="s">
        <v>42</v>
      </c>
      <c r="B21" s="338" t="s">
        <v>161</v>
      </c>
      <c r="C21" s="339"/>
      <c r="D21" s="340"/>
      <c r="E21" s="12"/>
      <c r="F21" s="247">
        <f>72453.74*('PPI Adj'!D6)</f>
        <v>84553.514580000003</v>
      </c>
      <c r="G21" s="12"/>
    </row>
    <row r="22" spans="1:7" ht="42.75" customHeight="1" x14ac:dyDescent="0.2">
      <c r="A22" s="37" t="s">
        <v>20</v>
      </c>
      <c r="B22" s="314" t="s">
        <v>162</v>
      </c>
      <c r="C22" s="315"/>
      <c r="D22" s="316"/>
      <c r="E22" s="12"/>
      <c r="F22" s="247">
        <f>1641*('PPI Adj'!D6)</f>
        <v>1915.047</v>
      </c>
      <c r="G22" s="12"/>
    </row>
    <row r="23" spans="1:7" ht="33" customHeight="1" thickBot="1" x14ac:dyDescent="0.25">
      <c r="A23" s="41" t="s">
        <v>41</v>
      </c>
      <c r="B23" s="359" t="s">
        <v>163</v>
      </c>
      <c r="C23" s="360"/>
      <c r="D23" s="361"/>
      <c r="E23" s="1"/>
      <c r="F23" s="188">
        <v>20</v>
      </c>
      <c r="G23" s="1"/>
    </row>
    <row r="24" spans="1:7" ht="13.5" thickBot="1" x14ac:dyDescent="0.25">
      <c r="A24" s="52"/>
      <c r="B24" s="1"/>
      <c r="C24" s="1"/>
      <c r="D24" s="1"/>
      <c r="E24" s="1"/>
      <c r="F24" s="249"/>
      <c r="G24" s="1"/>
    </row>
    <row r="25" spans="1:7" s="7" customFormat="1" ht="32.25" thickBot="1" x14ac:dyDescent="0.25">
      <c r="A25" s="362" t="s">
        <v>164</v>
      </c>
      <c r="B25" s="363"/>
      <c r="C25" s="363"/>
      <c r="D25" s="364"/>
      <c r="E25" s="32"/>
      <c r="F25" s="208" t="s">
        <v>332</v>
      </c>
      <c r="G25" s="32"/>
    </row>
    <row r="26" spans="1:7" s="3" customFormat="1" ht="15" customHeight="1" thickBot="1" x14ac:dyDescent="0.3">
      <c r="A26" s="49" t="s">
        <v>6</v>
      </c>
      <c r="B26" s="50" t="s">
        <v>7</v>
      </c>
      <c r="C26" s="365" t="s">
        <v>165</v>
      </c>
      <c r="D26" s="366"/>
      <c r="E26" s="33"/>
      <c r="F26" s="246" t="s">
        <v>17</v>
      </c>
      <c r="G26" s="33"/>
    </row>
    <row r="27" spans="1:7" s="12" customFormat="1" ht="43.5" customHeight="1" thickBot="1" x14ac:dyDescent="0.3">
      <c r="A27" s="43" t="s">
        <v>8</v>
      </c>
      <c r="B27" s="23" t="s">
        <v>131</v>
      </c>
      <c r="C27" s="341" t="s">
        <v>118</v>
      </c>
      <c r="D27" s="342"/>
      <c r="E27" s="28"/>
      <c r="F27" s="193">
        <v>14200</v>
      </c>
      <c r="G27" s="28"/>
    </row>
    <row r="28" spans="1:7" s="12" customFormat="1" x14ac:dyDescent="0.25">
      <c r="A28" s="343" t="s">
        <v>21</v>
      </c>
      <c r="B28" s="345" t="s">
        <v>289</v>
      </c>
      <c r="C28" s="347" t="s">
        <v>67</v>
      </c>
      <c r="D28" s="348"/>
      <c r="E28" s="28"/>
      <c r="F28" s="192">
        <v>5</v>
      </c>
      <c r="G28" s="28"/>
    </row>
    <row r="29" spans="1:7" s="12" customFormat="1" ht="13.5" thickBot="1" x14ac:dyDescent="0.3">
      <c r="A29" s="344"/>
      <c r="B29" s="346"/>
      <c r="C29" s="341" t="s">
        <v>68</v>
      </c>
      <c r="D29" s="342"/>
      <c r="E29" s="28"/>
      <c r="F29" s="184">
        <v>30</v>
      </c>
      <c r="G29" s="28"/>
    </row>
    <row r="30" spans="1:7" s="12" customFormat="1" ht="13.5" thickBot="1" x14ac:dyDescent="0.3">
      <c r="A30" s="44" t="s">
        <v>123</v>
      </c>
      <c r="B30" s="24" t="s">
        <v>108</v>
      </c>
      <c r="C30" s="357"/>
      <c r="D30" s="358"/>
      <c r="E30" s="29"/>
      <c r="F30" s="193"/>
      <c r="G30" s="29"/>
    </row>
    <row r="31" spans="1:7" s="12" customFormat="1" x14ac:dyDescent="0.25">
      <c r="A31" s="343" t="s">
        <v>59</v>
      </c>
      <c r="B31" s="345"/>
      <c r="C31" s="347" t="s">
        <v>58</v>
      </c>
      <c r="D31" s="348"/>
      <c r="E31" s="28"/>
      <c r="F31" s="192">
        <v>159</v>
      </c>
      <c r="G31" s="28"/>
    </row>
    <row r="32" spans="1:7" s="12" customFormat="1" x14ac:dyDescent="0.25">
      <c r="A32" s="351"/>
      <c r="B32" s="352"/>
      <c r="C32" s="353" t="s">
        <v>57</v>
      </c>
      <c r="D32" s="354"/>
      <c r="E32" s="28"/>
      <c r="F32" s="180">
        <v>266.5</v>
      </c>
      <c r="G32" s="28"/>
    </row>
    <row r="33" spans="1:7" s="12" customFormat="1" x14ac:dyDescent="0.25">
      <c r="A33" s="351"/>
      <c r="B33" s="352"/>
      <c r="C33" s="353" t="s">
        <v>69</v>
      </c>
      <c r="D33" s="354"/>
      <c r="E33" s="28"/>
      <c r="F33" s="180">
        <v>90</v>
      </c>
      <c r="G33" s="28"/>
    </row>
    <row r="34" spans="1:7" s="12" customFormat="1" x14ac:dyDescent="0.25">
      <c r="A34" s="351"/>
      <c r="B34" s="352"/>
      <c r="C34" s="355" t="s">
        <v>70</v>
      </c>
      <c r="D34" s="356"/>
      <c r="E34" s="28"/>
      <c r="F34" s="180">
        <v>73</v>
      </c>
      <c r="G34" s="28"/>
    </row>
    <row r="35" spans="1:7" s="12" customFormat="1" ht="15.6" customHeight="1" thickBot="1" x14ac:dyDescent="0.3">
      <c r="A35" s="344"/>
      <c r="B35" s="346"/>
      <c r="C35" s="341" t="s">
        <v>111</v>
      </c>
      <c r="D35" s="342"/>
      <c r="E35" s="28"/>
      <c r="F35" s="184">
        <v>94.1</v>
      </c>
      <c r="G35" s="28"/>
    </row>
    <row r="36" spans="1:7" s="12" customFormat="1" x14ac:dyDescent="0.25">
      <c r="A36" s="343" t="s">
        <v>11</v>
      </c>
      <c r="B36" s="345"/>
      <c r="C36" s="347" t="s">
        <v>24</v>
      </c>
      <c r="D36" s="348"/>
      <c r="E36" s="28"/>
      <c r="F36" s="192">
        <v>4600</v>
      </c>
      <c r="G36" s="28"/>
    </row>
    <row r="37" spans="1:7" s="12" customFormat="1" ht="13.5" thickBot="1" x14ac:dyDescent="0.3">
      <c r="A37" s="344"/>
      <c r="B37" s="346"/>
      <c r="C37" s="341" t="s">
        <v>22</v>
      </c>
      <c r="D37" s="342"/>
      <c r="E37" s="28"/>
      <c r="F37" s="184">
        <v>4600</v>
      </c>
      <c r="G37" s="28"/>
    </row>
    <row r="38" spans="1:7" s="12" customFormat="1" ht="15" customHeight="1" x14ac:dyDescent="0.25">
      <c r="A38" s="343" t="s">
        <v>16</v>
      </c>
      <c r="B38" s="345"/>
      <c r="C38" s="347" t="s">
        <v>24</v>
      </c>
      <c r="D38" s="348"/>
      <c r="E38" s="28"/>
      <c r="F38" s="192">
        <v>9600</v>
      </c>
      <c r="G38" s="28"/>
    </row>
    <row r="39" spans="1:7" s="12" customFormat="1" ht="15.95" customHeight="1" thickBot="1" x14ac:dyDescent="0.3">
      <c r="A39" s="344"/>
      <c r="B39" s="346"/>
      <c r="C39" s="349" t="s">
        <v>23</v>
      </c>
      <c r="D39" s="350"/>
      <c r="E39" s="28"/>
      <c r="F39" s="184">
        <v>9600</v>
      </c>
      <c r="G39" s="28"/>
    </row>
    <row r="40" spans="1:7" s="12" customFormat="1" ht="15.95" customHeight="1" thickBot="1" x14ac:dyDescent="0.3">
      <c r="A40" s="44" t="s">
        <v>52</v>
      </c>
      <c r="B40" s="24" t="s">
        <v>53</v>
      </c>
      <c r="C40" s="357"/>
      <c r="D40" s="358"/>
      <c r="E40" s="29"/>
      <c r="F40" s="193"/>
      <c r="G40" s="29"/>
    </row>
    <row r="41" spans="1:7" s="12" customFormat="1" ht="13.5" customHeight="1" thickBot="1" x14ac:dyDescent="0.3">
      <c r="A41" s="367" t="s">
        <v>12</v>
      </c>
      <c r="B41" s="368" t="s">
        <v>142</v>
      </c>
      <c r="C41" s="347" t="s">
        <v>174</v>
      </c>
      <c r="D41" s="348"/>
      <c r="E41" s="28"/>
      <c r="F41" s="192" t="s">
        <v>371</v>
      </c>
      <c r="G41" s="28"/>
    </row>
    <row r="42" spans="1:7" s="12" customFormat="1" ht="13.5" customHeight="1" thickBot="1" x14ac:dyDescent="0.3">
      <c r="A42" s="367"/>
      <c r="B42" s="368"/>
      <c r="C42" s="353" t="s">
        <v>175</v>
      </c>
      <c r="D42" s="354"/>
      <c r="E42" s="28"/>
      <c r="F42" s="180">
        <v>2335</v>
      </c>
      <c r="G42" s="28"/>
    </row>
    <row r="43" spans="1:7" s="12" customFormat="1" ht="13.5" customHeight="1" thickBot="1" x14ac:dyDescent="0.3">
      <c r="A43" s="367"/>
      <c r="B43" s="368"/>
      <c r="C43" s="353" t="s">
        <v>176</v>
      </c>
      <c r="D43" s="354"/>
      <c r="E43" s="28"/>
      <c r="F43" s="209" t="s">
        <v>371</v>
      </c>
      <c r="G43" s="28"/>
    </row>
    <row r="44" spans="1:7" s="12" customFormat="1" ht="13.5" customHeight="1" thickBot="1" x14ac:dyDescent="0.3">
      <c r="A44" s="367"/>
      <c r="B44" s="368"/>
      <c r="C44" s="353" t="s">
        <v>177</v>
      </c>
      <c r="D44" s="354"/>
      <c r="E44" s="28"/>
      <c r="F44" s="180">
        <v>2470</v>
      </c>
      <c r="G44" s="28"/>
    </row>
    <row r="45" spans="1:7" s="12" customFormat="1" ht="13.5" customHeight="1" thickBot="1" x14ac:dyDescent="0.3">
      <c r="A45" s="367"/>
      <c r="B45" s="368"/>
      <c r="C45" s="353" t="s">
        <v>112</v>
      </c>
      <c r="D45" s="354"/>
      <c r="E45" s="28"/>
      <c r="F45" s="180" t="s">
        <v>309</v>
      </c>
      <c r="G45" s="28"/>
    </row>
    <row r="46" spans="1:7" s="12" customFormat="1" ht="13.5" thickBot="1" x14ac:dyDescent="0.3">
      <c r="A46" s="367"/>
      <c r="B46" s="368"/>
      <c r="C46" s="353" t="s">
        <v>113</v>
      </c>
      <c r="D46" s="354"/>
      <c r="E46" s="28"/>
      <c r="F46" s="180" t="s">
        <v>343</v>
      </c>
      <c r="G46" s="28"/>
    </row>
    <row r="47" spans="1:7" s="12" customFormat="1" ht="13.5" customHeight="1" thickBot="1" x14ac:dyDescent="0.3">
      <c r="A47" s="367"/>
      <c r="B47" s="368"/>
      <c r="C47" s="355" t="s">
        <v>114</v>
      </c>
      <c r="D47" s="356"/>
      <c r="E47" s="28"/>
      <c r="F47" s="180" t="s">
        <v>383</v>
      </c>
      <c r="G47" s="28"/>
    </row>
    <row r="48" spans="1:7" s="12" customFormat="1" ht="13.5" thickBot="1" x14ac:dyDescent="0.3">
      <c r="A48" s="367"/>
      <c r="B48" s="368"/>
      <c r="C48" s="341" t="s">
        <v>115</v>
      </c>
      <c r="D48" s="342"/>
      <c r="E48" s="28"/>
      <c r="F48" s="184" t="s">
        <v>343</v>
      </c>
      <c r="G48" s="28"/>
    </row>
    <row r="49" spans="1:7" s="12" customFormat="1" x14ac:dyDescent="0.25">
      <c r="A49" s="343" t="s">
        <v>10</v>
      </c>
      <c r="B49" s="345" t="s">
        <v>62</v>
      </c>
      <c r="C49" s="347" t="s">
        <v>116</v>
      </c>
      <c r="D49" s="348"/>
      <c r="E49" s="28"/>
      <c r="F49" s="192">
        <v>6</v>
      </c>
      <c r="G49" s="28"/>
    </row>
    <row r="50" spans="1:7" s="12" customFormat="1" x14ac:dyDescent="0.25">
      <c r="A50" s="351"/>
      <c r="B50" s="352"/>
      <c r="C50" s="353" t="s">
        <v>117</v>
      </c>
      <c r="D50" s="354"/>
      <c r="E50" s="28"/>
      <c r="F50" s="180" t="s">
        <v>344</v>
      </c>
      <c r="G50" s="28"/>
    </row>
    <row r="51" spans="1:7" s="12" customFormat="1" ht="13.5" thickBot="1" x14ac:dyDescent="0.3">
      <c r="A51" s="351"/>
      <c r="B51" s="352"/>
      <c r="C51" s="349" t="s">
        <v>71</v>
      </c>
      <c r="D51" s="350"/>
      <c r="E51" s="28"/>
      <c r="F51" s="179" t="s">
        <v>384</v>
      </c>
      <c r="G51" s="28"/>
    </row>
    <row r="52" spans="1:7" s="12" customFormat="1" ht="82.5" customHeight="1" thickBot="1" x14ac:dyDescent="0.3">
      <c r="A52" s="45" t="s">
        <v>9</v>
      </c>
      <c r="B52" s="22" t="s">
        <v>140</v>
      </c>
      <c r="C52" s="355"/>
      <c r="D52" s="356"/>
      <c r="E52" s="28"/>
      <c r="F52" s="192"/>
      <c r="G52" s="28"/>
    </row>
    <row r="53" spans="1:7" s="12" customFormat="1" x14ac:dyDescent="0.25">
      <c r="A53" s="343" t="s">
        <v>25</v>
      </c>
      <c r="B53" s="345" t="s">
        <v>93</v>
      </c>
      <c r="C53" s="347" t="s">
        <v>72</v>
      </c>
      <c r="D53" s="348"/>
      <c r="E53" s="28"/>
      <c r="F53" s="192" t="s">
        <v>346</v>
      </c>
      <c r="G53" s="28"/>
    </row>
    <row r="54" spans="1:7" s="12" customFormat="1" ht="54.95" customHeight="1" thickBot="1" x14ac:dyDescent="0.3">
      <c r="A54" s="344"/>
      <c r="B54" s="346"/>
      <c r="C54" s="341" t="s">
        <v>73</v>
      </c>
      <c r="D54" s="342"/>
      <c r="E54" s="28"/>
      <c r="F54" s="184">
        <v>220</v>
      </c>
      <c r="G54" s="28"/>
    </row>
    <row r="55" spans="1:7" s="12" customFormat="1" x14ac:dyDescent="0.25">
      <c r="A55" s="343" t="s">
        <v>26</v>
      </c>
      <c r="B55" s="345"/>
      <c r="C55" s="347" t="s">
        <v>74</v>
      </c>
      <c r="D55" s="348"/>
      <c r="E55" s="28"/>
      <c r="F55" s="192" t="s">
        <v>347</v>
      </c>
      <c r="G55" s="28"/>
    </row>
    <row r="56" spans="1:7" s="12" customFormat="1" x14ac:dyDescent="0.25">
      <c r="A56" s="351"/>
      <c r="B56" s="352"/>
      <c r="C56" s="353" t="s">
        <v>75</v>
      </c>
      <c r="D56" s="354"/>
      <c r="E56" s="28"/>
      <c r="F56" s="180">
        <v>2</v>
      </c>
      <c r="G56" s="28"/>
    </row>
    <row r="57" spans="1:7" s="12" customFormat="1" ht="13.5" thickBot="1" x14ac:dyDescent="0.3">
      <c r="A57" s="344"/>
      <c r="B57" s="346"/>
      <c r="C57" s="341" t="s">
        <v>76</v>
      </c>
      <c r="D57" s="342"/>
      <c r="E57" s="28"/>
      <c r="F57" s="184" t="s">
        <v>391</v>
      </c>
      <c r="G57" s="28"/>
    </row>
    <row r="58" spans="1:7" s="12" customFormat="1" ht="14.45" customHeight="1" thickBot="1" x14ac:dyDescent="0.3">
      <c r="A58" s="44" t="s">
        <v>44</v>
      </c>
      <c r="B58" s="24" t="s">
        <v>45</v>
      </c>
      <c r="C58" s="357"/>
      <c r="D58" s="358"/>
      <c r="E58" s="29"/>
      <c r="F58" s="196"/>
      <c r="G58" s="29"/>
    </row>
    <row r="59" spans="1:7" s="12" customFormat="1" ht="28.5" customHeight="1" thickBot="1" x14ac:dyDescent="0.3">
      <c r="A59" s="44" t="s">
        <v>44</v>
      </c>
      <c r="B59" s="24" t="s">
        <v>63</v>
      </c>
      <c r="C59" s="357"/>
      <c r="D59" s="358"/>
      <c r="E59" s="29"/>
      <c r="F59" s="196"/>
      <c r="G59" s="29"/>
    </row>
    <row r="60" spans="1:7" s="12" customFormat="1" ht="30" customHeight="1" thickBot="1" x14ac:dyDescent="0.3">
      <c r="A60" s="44" t="s">
        <v>44</v>
      </c>
      <c r="B60" s="24" t="s">
        <v>64</v>
      </c>
      <c r="C60" s="357"/>
      <c r="D60" s="358"/>
      <c r="E60" s="29"/>
      <c r="F60" s="196"/>
      <c r="G60" s="29"/>
    </row>
    <row r="61" spans="1:7" s="12" customFormat="1" ht="18.600000000000001" customHeight="1" thickBot="1" x14ac:dyDescent="0.3">
      <c r="A61" s="44" t="s">
        <v>50</v>
      </c>
      <c r="B61" s="24" t="s">
        <v>65</v>
      </c>
      <c r="C61" s="357"/>
      <c r="D61" s="358"/>
      <c r="E61" s="29"/>
      <c r="F61" s="196"/>
      <c r="G61" s="29"/>
    </row>
    <row r="62" spans="1:7" s="12" customFormat="1" ht="13.5" thickBot="1" x14ac:dyDescent="0.3">
      <c r="A62" s="44" t="s">
        <v>27</v>
      </c>
      <c r="B62" s="24"/>
      <c r="C62" s="369" t="s">
        <v>77</v>
      </c>
      <c r="D62" s="370"/>
      <c r="E62" s="28"/>
      <c r="F62" s="193" t="s">
        <v>349</v>
      </c>
      <c r="G62" s="28"/>
    </row>
    <row r="63" spans="1:7" s="12" customFormat="1" ht="39.6" customHeight="1" thickBot="1" x14ac:dyDescent="0.3">
      <c r="A63" s="44" t="s">
        <v>28</v>
      </c>
      <c r="B63" s="24" t="s">
        <v>179</v>
      </c>
      <c r="C63" s="369" t="s">
        <v>78</v>
      </c>
      <c r="D63" s="370"/>
      <c r="E63" s="28"/>
      <c r="F63" s="193">
        <v>33</v>
      </c>
      <c r="G63" s="28"/>
    </row>
    <row r="64" spans="1:7" s="12" customFormat="1" ht="39.6" customHeight="1" thickBot="1" x14ac:dyDescent="0.3">
      <c r="A64" s="44" t="s">
        <v>51</v>
      </c>
      <c r="B64" s="24" t="s">
        <v>79</v>
      </c>
      <c r="C64" s="357"/>
      <c r="D64" s="358"/>
      <c r="E64" s="29"/>
      <c r="F64" s="193"/>
      <c r="G64" s="29"/>
    </row>
    <row r="65" spans="1:7" s="12" customFormat="1" ht="41.1" customHeight="1" thickBot="1" x14ac:dyDescent="0.3">
      <c r="A65" s="44" t="s">
        <v>54</v>
      </c>
      <c r="B65" s="24" t="s">
        <v>80</v>
      </c>
      <c r="C65" s="357"/>
      <c r="D65" s="358"/>
      <c r="E65" s="29"/>
      <c r="F65" s="193"/>
      <c r="G65" s="29"/>
    </row>
    <row r="66" spans="1:7" s="12" customFormat="1" ht="78" customHeight="1" thickBot="1" x14ac:dyDescent="0.3">
      <c r="A66" s="44" t="s">
        <v>29</v>
      </c>
      <c r="B66" s="24" t="s">
        <v>132</v>
      </c>
      <c r="C66" s="357"/>
      <c r="D66" s="358"/>
      <c r="E66" s="29"/>
      <c r="F66" s="193"/>
      <c r="G66" s="29"/>
    </row>
    <row r="67" spans="1:7" s="12" customFormat="1" ht="39" thickBot="1" x14ac:dyDescent="0.3">
      <c r="A67" s="44" t="s">
        <v>31</v>
      </c>
      <c r="B67" s="24" t="s">
        <v>94</v>
      </c>
      <c r="C67" s="369" t="s">
        <v>30</v>
      </c>
      <c r="D67" s="370"/>
      <c r="E67" s="28"/>
      <c r="F67" s="193" t="s">
        <v>350</v>
      </c>
      <c r="G67" s="28"/>
    </row>
    <row r="68" spans="1:7" s="12" customFormat="1" ht="28.5" customHeight="1" thickBot="1" x14ac:dyDescent="0.3">
      <c r="A68" s="44" t="s">
        <v>55</v>
      </c>
      <c r="B68" s="24" t="s">
        <v>95</v>
      </c>
      <c r="C68" s="357"/>
      <c r="D68" s="358"/>
      <c r="E68" s="29"/>
      <c r="F68" s="193"/>
      <c r="G68" s="29"/>
    </row>
    <row r="69" spans="1:7" s="12" customFormat="1" ht="26.25" thickBot="1" x14ac:dyDescent="0.3">
      <c r="A69" s="44" t="s">
        <v>32</v>
      </c>
      <c r="B69" s="24" t="s">
        <v>96</v>
      </c>
      <c r="C69" s="369" t="s">
        <v>30</v>
      </c>
      <c r="D69" s="370"/>
      <c r="E69" s="28"/>
      <c r="F69" s="193" t="s">
        <v>351</v>
      </c>
      <c r="G69" s="28"/>
    </row>
    <row r="70" spans="1:7" s="12" customFormat="1" ht="40.5" customHeight="1" thickBot="1" x14ac:dyDescent="0.3">
      <c r="A70" s="44" t="s">
        <v>56</v>
      </c>
      <c r="B70" s="24" t="s">
        <v>167</v>
      </c>
      <c r="C70" s="357"/>
      <c r="D70" s="358"/>
      <c r="E70" s="29"/>
      <c r="F70" s="193"/>
      <c r="G70" s="29"/>
    </row>
    <row r="71" spans="1:7" s="12" customFormat="1" ht="27.95" customHeight="1" thickBot="1" x14ac:dyDescent="0.3">
      <c r="A71" s="44" t="s">
        <v>48</v>
      </c>
      <c r="B71" s="24" t="s">
        <v>47</v>
      </c>
      <c r="C71" s="357"/>
      <c r="D71" s="358"/>
      <c r="E71" s="29"/>
      <c r="F71" s="193"/>
      <c r="G71" s="29"/>
    </row>
    <row r="72" spans="1:7" s="12" customFormat="1" ht="27" customHeight="1" thickBot="1" x14ac:dyDescent="0.3">
      <c r="A72" s="44" t="s">
        <v>49</v>
      </c>
      <c r="B72" s="24" t="s">
        <v>103</v>
      </c>
      <c r="C72" s="357"/>
      <c r="D72" s="358"/>
      <c r="E72" s="29"/>
      <c r="F72" s="193"/>
      <c r="G72" s="29"/>
    </row>
    <row r="73" spans="1:7" s="12" customFormat="1" ht="26.25" thickBot="1" x14ac:dyDescent="0.3">
      <c r="A73" s="44" t="s">
        <v>46</v>
      </c>
      <c r="B73" s="24" t="s">
        <v>81</v>
      </c>
      <c r="C73" s="357"/>
      <c r="D73" s="358"/>
      <c r="E73" s="29"/>
      <c r="F73" s="193"/>
      <c r="G73" s="29"/>
    </row>
    <row r="74" spans="1:7" ht="13.5" thickBot="1" x14ac:dyDescent="0.25">
      <c r="F74" s="250"/>
    </row>
    <row r="75" spans="1:7" s="15" customFormat="1" ht="32.25" thickBot="1" x14ac:dyDescent="0.3">
      <c r="A75" s="362" t="s">
        <v>168</v>
      </c>
      <c r="B75" s="363"/>
      <c r="C75" s="363"/>
      <c r="D75" s="364"/>
      <c r="E75" s="32"/>
      <c r="F75" s="208" t="s">
        <v>332</v>
      </c>
    </row>
    <row r="76" spans="1:7" s="3" customFormat="1" ht="15" customHeight="1" thickBot="1" x14ac:dyDescent="0.3">
      <c r="A76" s="371" t="s">
        <v>169</v>
      </c>
      <c r="B76" s="372"/>
      <c r="C76" s="372"/>
      <c r="D76" s="373"/>
      <c r="E76" s="33"/>
      <c r="F76" s="246" t="s">
        <v>17</v>
      </c>
    </row>
    <row r="77" spans="1:7" s="12" customFormat="1" ht="12.75" customHeight="1" x14ac:dyDescent="0.25">
      <c r="A77" s="461" t="s">
        <v>82</v>
      </c>
      <c r="B77" s="462"/>
      <c r="C77" s="462"/>
      <c r="D77" s="463"/>
      <c r="E77" s="29"/>
      <c r="F77" s="251">
        <f>1010*('PPI Adj'!D6)</f>
        <v>1178.67</v>
      </c>
      <c r="G77" s="28"/>
    </row>
    <row r="78" spans="1:7" s="12" customFormat="1" ht="12.75" customHeight="1" x14ac:dyDescent="0.25">
      <c r="A78" s="464" t="s">
        <v>83</v>
      </c>
      <c r="B78" s="465"/>
      <c r="C78" s="465"/>
      <c r="D78" s="466"/>
      <c r="E78" s="29"/>
      <c r="F78" s="251">
        <f>-1010*('PPI Adj'!D6)</f>
        <v>-1178.67</v>
      </c>
      <c r="G78" s="28"/>
    </row>
    <row r="79" spans="1:7" s="12" customFormat="1" ht="12.75" customHeight="1" x14ac:dyDescent="0.25">
      <c r="A79" s="383" t="s">
        <v>34</v>
      </c>
      <c r="B79" s="384"/>
      <c r="C79" s="384"/>
      <c r="D79" s="385"/>
      <c r="E79" s="28"/>
      <c r="F79" s="252">
        <f>532*('PPI Adj'!D6)</f>
        <v>620.84400000000005</v>
      </c>
      <c r="G79" s="28"/>
    </row>
    <row r="80" spans="1:7" s="12" customFormat="1" x14ac:dyDescent="0.25">
      <c r="A80" s="383" t="s">
        <v>35</v>
      </c>
      <c r="B80" s="384"/>
      <c r="C80" s="384"/>
      <c r="D80" s="385"/>
      <c r="E80" s="29"/>
      <c r="F80" s="252">
        <f>261*('PPI Adj'!D6)</f>
        <v>304.58699999999999</v>
      </c>
      <c r="G80" s="28"/>
    </row>
    <row r="81" spans="1:7" s="12" customFormat="1" x14ac:dyDescent="0.25">
      <c r="A81" s="383" t="s">
        <v>36</v>
      </c>
      <c r="B81" s="384"/>
      <c r="C81" s="384"/>
      <c r="D81" s="385"/>
      <c r="E81" s="28"/>
      <c r="F81" s="252">
        <f>290*('PPI Adj'!D6)</f>
        <v>338.43</v>
      </c>
      <c r="G81" s="28"/>
    </row>
    <row r="82" spans="1:7" s="12" customFormat="1" x14ac:dyDescent="0.25">
      <c r="A82" s="383" t="s">
        <v>60</v>
      </c>
      <c r="B82" s="384"/>
      <c r="C82" s="384"/>
      <c r="D82" s="385"/>
      <c r="E82" s="28"/>
      <c r="F82" s="252">
        <f>1086*('PPI Adj'!D6)</f>
        <v>1267.3620000000001</v>
      </c>
      <c r="G82" s="28"/>
    </row>
    <row r="83" spans="1:7" s="12" customFormat="1" x14ac:dyDescent="0.25">
      <c r="A83" s="383" t="s">
        <v>61</v>
      </c>
      <c r="B83" s="384"/>
      <c r="C83" s="384"/>
      <c r="D83" s="385"/>
      <c r="E83" s="28"/>
      <c r="F83" s="252">
        <f>1524*('PPI Adj'!D6)</f>
        <v>1778.508</v>
      </c>
      <c r="G83" s="28"/>
    </row>
    <row r="84" spans="1:7" s="12" customFormat="1" ht="12.75" customHeight="1" x14ac:dyDescent="0.25">
      <c r="A84" s="383" t="s">
        <v>86</v>
      </c>
      <c r="B84" s="384"/>
      <c r="C84" s="384"/>
      <c r="D84" s="385"/>
      <c r="E84" s="28"/>
      <c r="F84" s="252">
        <f>856*('PPI Adj'!D6)</f>
        <v>998.952</v>
      </c>
      <c r="G84" s="28"/>
    </row>
    <row r="85" spans="1:7" ht="12.75" customHeight="1" x14ac:dyDescent="0.2">
      <c r="A85" s="383" t="s">
        <v>85</v>
      </c>
      <c r="B85" s="384"/>
      <c r="C85" s="384"/>
      <c r="D85" s="385"/>
      <c r="E85" s="28"/>
      <c r="F85" s="252">
        <f>6280*('PPI Adj'!D6)</f>
        <v>7328.76</v>
      </c>
      <c r="G85" s="5"/>
    </row>
    <row r="86" spans="1:7" x14ac:dyDescent="0.2">
      <c r="A86" s="383" t="s">
        <v>13</v>
      </c>
      <c r="B86" s="384"/>
      <c r="C86" s="384"/>
      <c r="D86" s="385"/>
      <c r="E86" s="28"/>
      <c r="F86" s="252">
        <f>10801*('PPI Adj'!D6)</f>
        <v>12604.767</v>
      </c>
      <c r="G86" s="5"/>
    </row>
    <row r="87" spans="1:7" ht="12.75" customHeight="1" x14ac:dyDescent="0.2">
      <c r="A87" s="383" t="s">
        <v>37</v>
      </c>
      <c r="B87" s="384"/>
      <c r="C87" s="384"/>
      <c r="D87" s="385"/>
      <c r="E87" s="29"/>
      <c r="F87" s="252">
        <f>500*('PPI Adj'!D6)</f>
        <v>583.5</v>
      </c>
      <c r="G87" s="5"/>
    </row>
    <row r="88" spans="1:7" x14ac:dyDescent="0.2">
      <c r="A88" s="383" t="s">
        <v>38</v>
      </c>
      <c r="B88" s="384"/>
      <c r="C88" s="384"/>
      <c r="D88" s="385"/>
      <c r="E88" s="29"/>
      <c r="F88" s="252">
        <f>662*('PPI Adj'!D6)</f>
        <v>772.55399999999997</v>
      </c>
      <c r="G88" s="5"/>
    </row>
    <row r="89" spans="1:7" x14ac:dyDescent="0.2">
      <c r="A89" s="383" t="s">
        <v>39</v>
      </c>
      <c r="B89" s="384"/>
      <c r="C89" s="384"/>
      <c r="D89" s="385"/>
      <c r="E89" s="28"/>
      <c r="F89" s="252">
        <f>882*('PPI Adj'!D6)</f>
        <v>1029.2940000000001</v>
      </c>
      <c r="G89" s="5"/>
    </row>
    <row r="90" spans="1:7" ht="12.75" customHeight="1" x14ac:dyDescent="0.2">
      <c r="A90" s="383" t="s">
        <v>90</v>
      </c>
      <c r="B90" s="384"/>
      <c r="C90" s="384"/>
      <c r="D90" s="385"/>
      <c r="E90" s="29"/>
      <c r="F90" s="252">
        <f>394.87*('PPI Adj'!D6)</f>
        <v>460.81328999999999</v>
      </c>
      <c r="G90" s="5"/>
    </row>
    <row r="91" spans="1:7" ht="12.75" customHeight="1" x14ac:dyDescent="0.2">
      <c r="A91" s="383" t="s">
        <v>88</v>
      </c>
      <c r="B91" s="384"/>
      <c r="C91" s="384"/>
      <c r="D91" s="385"/>
      <c r="E91" s="28"/>
      <c r="F91" s="252" t="s">
        <v>181</v>
      </c>
      <c r="G91" s="5"/>
    </row>
    <row r="92" spans="1:7" x14ac:dyDescent="0.2">
      <c r="A92" s="383" t="s">
        <v>40</v>
      </c>
      <c r="B92" s="384"/>
      <c r="C92" s="384"/>
      <c r="D92" s="385"/>
      <c r="E92" s="28"/>
      <c r="F92" s="252">
        <f>204*('PPI Adj'!D6)</f>
        <v>238.06800000000001</v>
      </c>
      <c r="G92" s="5"/>
    </row>
    <row r="93" spans="1:7" x14ac:dyDescent="0.2">
      <c r="A93" s="383" t="s">
        <v>14</v>
      </c>
      <c r="B93" s="384"/>
      <c r="C93" s="384"/>
      <c r="D93" s="385"/>
      <c r="E93" s="28"/>
      <c r="F93" s="252">
        <f>8330*('PPI Adj'!D6)</f>
        <v>9721.11</v>
      </c>
      <c r="G93" s="5"/>
    </row>
    <row r="94" spans="1:7" ht="12.75" customHeight="1" x14ac:dyDescent="0.2">
      <c r="A94" s="383" t="s">
        <v>91</v>
      </c>
      <c r="B94" s="384"/>
      <c r="C94" s="384"/>
      <c r="D94" s="385"/>
      <c r="E94" s="28"/>
      <c r="F94" s="253">
        <f>1971*('PPI Adj'!D6)</f>
        <v>2300.1570000000002</v>
      </c>
      <c r="G94" s="5"/>
    </row>
    <row r="95" spans="1:7" ht="12.75" customHeight="1" x14ac:dyDescent="0.2">
      <c r="A95" s="383" t="s">
        <v>272</v>
      </c>
      <c r="B95" s="384"/>
      <c r="C95" s="384"/>
      <c r="D95" s="385"/>
      <c r="E95" s="28"/>
      <c r="F95" s="252">
        <f>-1036*('PPI Adj'!D6)</f>
        <v>-1209.0119999999999</v>
      </c>
      <c r="G95" s="5"/>
    </row>
    <row r="96" spans="1:7" ht="13.5" customHeight="1" thickBot="1" x14ac:dyDescent="0.25">
      <c r="A96" s="458" t="s">
        <v>92</v>
      </c>
      <c r="B96" s="459"/>
      <c r="C96" s="459"/>
      <c r="D96" s="460"/>
      <c r="E96" s="29"/>
      <c r="F96" s="254">
        <f>-2023*('PPI Adj'!D6)</f>
        <v>-2360.8409999999999</v>
      </c>
      <c r="G96" s="5"/>
    </row>
    <row r="97" spans="1:6" ht="13.5" customHeight="1" thickBot="1" x14ac:dyDescent="0.25">
      <c r="F97" s="250"/>
    </row>
    <row r="98" spans="1:6" s="15" customFormat="1" ht="32.25" thickBot="1" x14ac:dyDescent="0.3">
      <c r="A98" s="362" t="s">
        <v>166</v>
      </c>
      <c r="B98" s="363"/>
      <c r="C98" s="363"/>
      <c r="D98" s="364"/>
      <c r="E98" s="32"/>
      <c r="F98" s="208" t="s">
        <v>332</v>
      </c>
    </row>
    <row r="99" spans="1:6" s="3" customFormat="1" ht="15" customHeight="1" thickBot="1" x14ac:dyDescent="0.3">
      <c r="A99" s="46" t="s">
        <v>33</v>
      </c>
      <c r="B99" s="18" t="s">
        <v>7</v>
      </c>
      <c r="C99" s="386" t="s">
        <v>165</v>
      </c>
      <c r="D99" s="387"/>
      <c r="E99" s="33"/>
      <c r="F99" s="246" t="s">
        <v>17</v>
      </c>
    </row>
    <row r="100" spans="1:6" s="12" customFormat="1" ht="27.95" customHeight="1" thickBot="1" x14ac:dyDescent="0.3">
      <c r="A100" s="47" t="s">
        <v>82</v>
      </c>
      <c r="B100" s="14" t="s">
        <v>130</v>
      </c>
      <c r="C100" s="388"/>
      <c r="D100" s="389"/>
      <c r="E100" s="29"/>
      <c r="F100" s="193"/>
    </row>
    <row r="101" spans="1:6" s="12" customFormat="1" ht="41.1" customHeight="1" thickBot="1" x14ac:dyDescent="0.3">
      <c r="A101" s="47" t="s">
        <v>83</v>
      </c>
      <c r="B101" s="17" t="s">
        <v>146</v>
      </c>
      <c r="C101" s="388"/>
      <c r="D101" s="389"/>
      <c r="E101" s="29"/>
      <c r="F101" s="193"/>
    </row>
    <row r="102" spans="1:6" s="12" customFormat="1" ht="27.95" customHeight="1" thickBot="1" x14ac:dyDescent="0.3">
      <c r="A102" s="44" t="s">
        <v>34</v>
      </c>
      <c r="B102" s="24" t="s">
        <v>107</v>
      </c>
      <c r="C102" s="369" t="s">
        <v>30</v>
      </c>
      <c r="D102" s="370"/>
      <c r="E102" s="28"/>
      <c r="F102" s="193" t="s">
        <v>352</v>
      </c>
    </row>
    <row r="103" spans="1:6" s="12" customFormat="1" ht="53.45" customHeight="1" thickBot="1" x14ac:dyDescent="0.3">
      <c r="A103" s="44" t="s">
        <v>35</v>
      </c>
      <c r="B103" s="24" t="s">
        <v>97</v>
      </c>
      <c r="C103" s="357"/>
      <c r="D103" s="358"/>
      <c r="E103" s="29"/>
      <c r="F103" s="192"/>
    </row>
    <row r="104" spans="1:6" s="12" customFormat="1" ht="30.6" customHeight="1" thickBot="1" x14ac:dyDescent="0.3">
      <c r="A104" s="44" t="s">
        <v>36</v>
      </c>
      <c r="B104" s="24" t="s">
        <v>84</v>
      </c>
      <c r="C104" s="369" t="s">
        <v>99</v>
      </c>
      <c r="D104" s="370"/>
      <c r="E104" s="28"/>
      <c r="F104" s="193" t="s">
        <v>387</v>
      </c>
    </row>
    <row r="105" spans="1:6" s="12" customFormat="1" ht="12.75" customHeight="1" x14ac:dyDescent="0.25">
      <c r="A105" s="343" t="s">
        <v>60</v>
      </c>
      <c r="B105" s="345" t="s">
        <v>133</v>
      </c>
      <c r="C105" s="347" t="s">
        <v>176</v>
      </c>
      <c r="D105" s="348"/>
      <c r="E105" s="28"/>
      <c r="F105" s="192" t="s">
        <v>371</v>
      </c>
    </row>
    <row r="106" spans="1:6" s="12" customFormat="1" ht="12.75" customHeight="1" x14ac:dyDescent="0.25">
      <c r="A106" s="351"/>
      <c r="B106" s="352"/>
      <c r="C106" s="353" t="s">
        <v>177</v>
      </c>
      <c r="D106" s="354"/>
      <c r="E106" s="28"/>
      <c r="F106" s="180">
        <v>2470</v>
      </c>
    </row>
    <row r="107" spans="1:6" s="12" customFormat="1" ht="12.75" customHeight="1" x14ac:dyDescent="0.25">
      <c r="A107" s="351"/>
      <c r="B107" s="352"/>
      <c r="C107" s="353" t="s">
        <v>114</v>
      </c>
      <c r="D107" s="354"/>
      <c r="E107" s="28"/>
      <c r="F107" s="180" t="s">
        <v>377</v>
      </c>
    </row>
    <row r="108" spans="1:6" s="12" customFormat="1" ht="30.75" customHeight="1" thickBot="1" x14ac:dyDescent="0.3">
      <c r="A108" s="344"/>
      <c r="B108" s="346"/>
      <c r="C108" s="341" t="s">
        <v>115</v>
      </c>
      <c r="D108" s="342"/>
      <c r="E108" s="28"/>
      <c r="F108" s="184" t="s">
        <v>356</v>
      </c>
    </row>
    <row r="109" spans="1:6" s="12" customFormat="1" ht="12.75" customHeight="1" x14ac:dyDescent="0.25">
      <c r="A109" s="343" t="s">
        <v>61</v>
      </c>
      <c r="B109" s="345" t="s">
        <v>134</v>
      </c>
      <c r="C109" s="347" t="s">
        <v>174</v>
      </c>
      <c r="D109" s="348"/>
      <c r="E109" s="28"/>
      <c r="F109" s="192" t="s">
        <v>371</v>
      </c>
    </row>
    <row r="110" spans="1:6" s="12" customFormat="1" ht="12.75" customHeight="1" x14ac:dyDescent="0.25">
      <c r="A110" s="351"/>
      <c r="B110" s="352"/>
      <c r="C110" s="353" t="s">
        <v>175</v>
      </c>
      <c r="D110" s="354"/>
      <c r="E110" s="28"/>
      <c r="F110" s="209">
        <v>2680</v>
      </c>
    </row>
    <row r="111" spans="1:6" s="12" customFormat="1" ht="12.75" customHeight="1" x14ac:dyDescent="0.25">
      <c r="A111" s="351"/>
      <c r="B111" s="352"/>
      <c r="C111" s="353" t="s">
        <v>176</v>
      </c>
      <c r="D111" s="354"/>
      <c r="E111" s="28"/>
      <c r="F111" s="209" t="s">
        <v>371</v>
      </c>
    </row>
    <row r="112" spans="1:6" s="12" customFormat="1" ht="12.75" customHeight="1" x14ac:dyDescent="0.25">
      <c r="A112" s="351"/>
      <c r="B112" s="352"/>
      <c r="C112" s="353" t="s">
        <v>177</v>
      </c>
      <c r="D112" s="354"/>
      <c r="E112" s="28"/>
      <c r="F112" s="180">
        <v>2470</v>
      </c>
    </row>
    <row r="113" spans="1:6" s="12" customFormat="1" ht="12.75" customHeight="1" x14ac:dyDescent="0.25">
      <c r="A113" s="351"/>
      <c r="B113" s="352"/>
      <c r="C113" s="353" t="s">
        <v>112</v>
      </c>
      <c r="D113" s="354"/>
      <c r="E113" s="28"/>
      <c r="F113" s="180" t="s">
        <v>358</v>
      </c>
    </row>
    <row r="114" spans="1:6" s="12" customFormat="1" ht="12.75" customHeight="1" x14ac:dyDescent="0.25">
      <c r="A114" s="351"/>
      <c r="B114" s="352"/>
      <c r="C114" s="353" t="s">
        <v>113</v>
      </c>
      <c r="D114" s="354"/>
      <c r="E114" s="28"/>
      <c r="F114" s="209" t="s">
        <v>359</v>
      </c>
    </row>
    <row r="115" spans="1:6" s="12" customFormat="1" ht="12.75" customHeight="1" x14ac:dyDescent="0.25">
      <c r="A115" s="351"/>
      <c r="B115" s="352"/>
      <c r="C115" s="353" t="s">
        <v>114</v>
      </c>
      <c r="D115" s="354"/>
      <c r="E115" s="28"/>
      <c r="F115" s="209" t="s">
        <v>358</v>
      </c>
    </row>
    <row r="116" spans="1:6" s="12" customFormat="1" ht="15.95" customHeight="1" thickBot="1" x14ac:dyDescent="0.3">
      <c r="A116" s="344"/>
      <c r="B116" s="346"/>
      <c r="C116" s="341" t="s">
        <v>115</v>
      </c>
      <c r="D116" s="342"/>
      <c r="E116" s="28"/>
      <c r="F116" s="184" t="s">
        <v>359</v>
      </c>
    </row>
    <row r="117" spans="1:6" s="12" customFormat="1" ht="145.5" customHeight="1" thickBot="1" x14ac:dyDescent="0.3">
      <c r="A117" s="48" t="s">
        <v>86</v>
      </c>
      <c r="B117" s="16" t="s">
        <v>143</v>
      </c>
      <c r="C117" s="369" t="s">
        <v>104</v>
      </c>
      <c r="D117" s="370"/>
      <c r="E117" s="28"/>
      <c r="F117" s="192" t="s">
        <v>360</v>
      </c>
    </row>
    <row r="118" spans="1:6" ht="168.6" customHeight="1" thickBot="1" x14ac:dyDescent="0.25">
      <c r="A118" s="44" t="s">
        <v>85</v>
      </c>
      <c r="B118" s="13" t="s">
        <v>170</v>
      </c>
      <c r="C118" s="369" t="s">
        <v>104</v>
      </c>
      <c r="D118" s="370"/>
      <c r="E118" s="28"/>
      <c r="F118" s="193" t="s">
        <v>360</v>
      </c>
    </row>
    <row r="119" spans="1:6" x14ac:dyDescent="0.2">
      <c r="A119" s="343" t="s">
        <v>13</v>
      </c>
      <c r="B119" s="345" t="s">
        <v>98</v>
      </c>
      <c r="C119" s="347" t="s">
        <v>30</v>
      </c>
      <c r="D119" s="348"/>
      <c r="E119" s="28"/>
      <c r="F119" s="192" t="s">
        <v>361</v>
      </c>
    </row>
    <row r="120" spans="1:6" ht="30.95" customHeight="1" thickBot="1" x14ac:dyDescent="0.25">
      <c r="A120" s="344"/>
      <c r="B120" s="346"/>
      <c r="C120" s="341" t="s">
        <v>109</v>
      </c>
      <c r="D120" s="342"/>
      <c r="E120" s="28"/>
      <c r="F120" s="184" t="s">
        <v>362</v>
      </c>
    </row>
    <row r="121" spans="1:6" ht="66.95" customHeight="1" thickBot="1" x14ac:dyDescent="0.25">
      <c r="A121" s="44" t="s">
        <v>37</v>
      </c>
      <c r="B121" s="24" t="s">
        <v>135</v>
      </c>
      <c r="C121" s="357"/>
      <c r="D121" s="358"/>
      <c r="E121" s="29"/>
      <c r="F121" s="193" t="s">
        <v>378</v>
      </c>
    </row>
    <row r="122" spans="1:6" ht="41.1" customHeight="1" thickBot="1" x14ac:dyDescent="0.25">
      <c r="A122" s="44" t="s">
        <v>38</v>
      </c>
      <c r="B122" s="24" t="s">
        <v>87</v>
      </c>
      <c r="C122" s="357"/>
      <c r="D122" s="358"/>
      <c r="E122" s="29"/>
      <c r="F122" s="193"/>
    </row>
    <row r="123" spans="1:6" ht="26.25" thickBot="1" x14ac:dyDescent="0.25">
      <c r="A123" s="44" t="s">
        <v>39</v>
      </c>
      <c r="B123" s="24" t="s">
        <v>106</v>
      </c>
      <c r="C123" s="369" t="s">
        <v>105</v>
      </c>
      <c r="D123" s="370"/>
      <c r="E123" s="28"/>
      <c r="F123" s="193" t="s">
        <v>207</v>
      </c>
    </row>
    <row r="124" spans="1:6" ht="40.5" customHeight="1" thickBot="1" x14ac:dyDescent="0.25">
      <c r="A124" s="44" t="s">
        <v>90</v>
      </c>
      <c r="B124" s="24" t="s">
        <v>129</v>
      </c>
      <c r="C124" s="357"/>
      <c r="D124" s="358"/>
      <c r="E124" s="29"/>
      <c r="F124" s="193"/>
    </row>
    <row r="125" spans="1:6" x14ac:dyDescent="0.2">
      <c r="A125" s="343" t="s">
        <v>88</v>
      </c>
      <c r="B125" s="345" t="s">
        <v>148</v>
      </c>
      <c r="C125" s="347" t="s">
        <v>100</v>
      </c>
      <c r="D125" s="348"/>
      <c r="E125" s="28"/>
      <c r="F125" s="192" t="s">
        <v>181</v>
      </c>
    </row>
    <row r="126" spans="1:6" ht="105" customHeight="1" thickBot="1" x14ac:dyDescent="0.25">
      <c r="A126" s="344"/>
      <c r="B126" s="346"/>
      <c r="C126" s="341" t="s">
        <v>110</v>
      </c>
      <c r="D126" s="342"/>
      <c r="E126" s="28"/>
      <c r="F126" s="255"/>
    </row>
    <row r="127" spans="1:6" ht="26.25" thickBot="1" x14ac:dyDescent="0.25">
      <c r="A127" s="44" t="s">
        <v>40</v>
      </c>
      <c r="B127" s="24" t="s">
        <v>137</v>
      </c>
      <c r="C127" s="369" t="s">
        <v>100</v>
      </c>
      <c r="D127" s="370"/>
      <c r="E127" s="28"/>
      <c r="F127" s="184" t="s">
        <v>363</v>
      </c>
    </row>
    <row r="128" spans="1:6" ht="54" customHeight="1" thickBot="1" x14ac:dyDescent="0.25">
      <c r="A128" s="44" t="s">
        <v>14</v>
      </c>
      <c r="B128" s="24" t="s">
        <v>138</v>
      </c>
      <c r="C128" s="369" t="s">
        <v>139</v>
      </c>
      <c r="D128" s="370"/>
      <c r="E128" s="28"/>
      <c r="F128" s="193">
        <v>2</v>
      </c>
    </row>
    <row r="129" spans="1:6" ht="66.95" customHeight="1" thickBot="1" x14ac:dyDescent="0.25">
      <c r="A129" s="44" t="s">
        <v>91</v>
      </c>
      <c r="B129" s="24" t="s">
        <v>144</v>
      </c>
      <c r="C129" s="369" t="s">
        <v>100</v>
      </c>
      <c r="D129" s="370"/>
      <c r="E129" s="28"/>
      <c r="F129" s="193" t="s">
        <v>364</v>
      </c>
    </row>
    <row r="130" spans="1:6" ht="65.45" customHeight="1" thickBot="1" x14ac:dyDescent="0.25">
      <c r="A130" s="44" t="s">
        <v>92</v>
      </c>
      <c r="B130" s="24" t="s">
        <v>145</v>
      </c>
      <c r="C130" s="357"/>
      <c r="D130" s="358"/>
      <c r="E130" s="29"/>
      <c r="F130" s="193"/>
    </row>
  </sheetData>
  <sheetProtection algorithmName="SHA-512" hashValue="UbLvj8X8VKvHWARURZB34MO5aocAm5jQRH5aJq+OaT5529VWvqhKqf+nZaMnxSfZVmlKtjuP6y/KnseMMcAvAQ==" saltValue="o3zCQDzCjljDtfTIM9fMSA==" spinCount="100000" sheet="1" objects="1" scenarios="1"/>
  <dataConsolidate/>
  <mergeCells count="146">
    <mergeCell ref="B23:D23"/>
    <mergeCell ref="A25:D25"/>
    <mergeCell ref="C27:D27"/>
    <mergeCell ref="A28:A29"/>
    <mergeCell ref="B28:B29"/>
    <mergeCell ref="C28:D28"/>
    <mergeCell ref="C29:D29"/>
    <mergeCell ref="C30:D30"/>
    <mergeCell ref="A3:D3"/>
    <mergeCell ref="A4:D4"/>
    <mergeCell ref="A5:E5"/>
    <mergeCell ref="A6:D6"/>
    <mergeCell ref="A19:D19"/>
    <mergeCell ref="B12:D12"/>
    <mergeCell ref="B13:D13"/>
    <mergeCell ref="B14:D14"/>
    <mergeCell ref="B15:D15"/>
    <mergeCell ref="B16:D16"/>
    <mergeCell ref="B8:D8"/>
    <mergeCell ref="B9:D9"/>
    <mergeCell ref="B10:D10"/>
    <mergeCell ref="B11:D11"/>
    <mergeCell ref="C26:D26"/>
    <mergeCell ref="B17:D17"/>
    <mergeCell ref="B21:D21"/>
    <mergeCell ref="B22:D22"/>
    <mergeCell ref="A49:A51"/>
    <mergeCell ref="B49:B51"/>
    <mergeCell ref="C49:D49"/>
    <mergeCell ref="C50:D50"/>
    <mergeCell ref="C51:D51"/>
    <mergeCell ref="A31:A35"/>
    <mergeCell ref="B31:B35"/>
    <mergeCell ref="C31:D31"/>
    <mergeCell ref="C32:D32"/>
    <mergeCell ref="C33:D33"/>
    <mergeCell ref="C34:D34"/>
    <mergeCell ref="C35:D35"/>
    <mergeCell ref="A36:A37"/>
    <mergeCell ref="B36:B37"/>
    <mergeCell ref="C36:D36"/>
    <mergeCell ref="C37:D37"/>
    <mergeCell ref="A38:A39"/>
    <mergeCell ref="B38:B39"/>
    <mergeCell ref="C38:D38"/>
    <mergeCell ref="C39:D39"/>
    <mergeCell ref="C40:D40"/>
    <mergeCell ref="A41:A48"/>
    <mergeCell ref="B41:B48"/>
    <mergeCell ref="C41:D41"/>
    <mergeCell ref="C42:D42"/>
    <mergeCell ref="C43:D43"/>
    <mergeCell ref="C44:D44"/>
    <mergeCell ref="C45:D45"/>
    <mergeCell ref="C46:D46"/>
    <mergeCell ref="C47:D47"/>
    <mergeCell ref="C48:D48"/>
    <mergeCell ref="C64:D64"/>
    <mergeCell ref="C65:D65"/>
    <mergeCell ref="C66:D66"/>
    <mergeCell ref="C67:D67"/>
    <mergeCell ref="C68:D68"/>
    <mergeCell ref="C52:D52"/>
    <mergeCell ref="A53:A54"/>
    <mergeCell ref="B53:B54"/>
    <mergeCell ref="C53:D53"/>
    <mergeCell ref="C54:D54"/>
    <mergeCell ref="A55:A57"/>
    <mergeCell ref="B55:B57"/>
    <mergeCell ref="C55:D55"/>
    <mergeCell ref="C56:D56"/>
    <mergeCell ref="C57:D57"/>
    <mergeCell ref="C58:D58"/>
    <mergeCell ref="C59:D59"/>
    <mergeCell ref="C60:D60"/>
    <mergeCell ref="C61:D61"/>
    <mergeCell ref="C62:D62"/>
    <mergeCell ref="C63:D63"/>
    <mergeCell ref="A85:D85"/>
    <mergeCell ref="A76:D76"/>
    <mergeCell ref="A77:D77"/>
    <mergeCell ref="A78:D78"/>
    <mergeCell ref="A79:D79"/>
    <mergeCell ref="A92:D92"/>
    <mergeCell ref="C69:D69"/>
    <mergeCell ref="A80:D80"/>
    <mergeCell ref="A81:D81"/>
    <mergeCell ref="A82:D82"/>
    <mergeCell ref="A83:D83"/>
    <mergeCell ref="A84:D84"/>
    <mergeCell ref="C70:D70"/>
    <mergeCell ref="C71:D71"/>
    <mergeCell ref="C72:D72"/>
    <mergeCell ref="C73:D73"/>
    <mergeCell ref="A75:D75"/>
    <mergeCell ref="A93:D93"/>
    <mergeCell ref="A94:D94"/>
    <mergeCell ref="A98:D98"/>
    <mergeCell ref="A86:D86"/>
    <mergeCell ref="A87:D87"/>
    <mergeCell ref="A88:D88"/>
    <mergeCell ref="A89:D89"/>
    <mergeCell ref="A90:D90"/>
    <mergeCell ref="A91:D91"/>
    <mergeCell ref="A96:D96"/>
    <mergeCell ref="A95:D95"/>
    <mergeCell ref="A105:A108"/>
    <mergeCell ref="B105:B108"/>
    <mergeCell ref="C105:D105"/>
    <mergeCell ref="C106:D106"/>
    <mergeCell ref="C107:D107"/>
    <mergeCell ref="C108:D108"/>
    <mergeCell ref="A109:A116"/>
    <mergeCell ref="B109:B116"/>
    <mergeCell ref="C109:D109"/>
    <mergeCell ref="C110:D110"/>
    <mergeCell ref="C111:D111"/>
    <mergeCell ref="C112:D112"/>
    <mergeCell ref="C130:D130"/>
    <mergeCell ref="C121:D121"/>
    <mergeCell ref="C122:D122"/>
    <mergeCell ref="C123:D123"/>
    <mergeCell ref="C124:D124"/>
    <mergeCell ref="A119:A120"/>
    <mergeCell ref="B119:B120"/>
    <mergeCell ref="C119:D119"/>
    <mergeCell ref="C120:D120"/>
    <mergeCell ref="A125:A126"/>
    <mergeCell ref="B125:B126"/>
    <mergeCell ref="C125:D125"/>
    <mergeCell ref="C126:D126"/>
    <mergeCell ref="C127:D127"/>
    <mergeCell ref="C128:D128"/>
    <mergeCell ref="C129:D129"/>
    <mergeCell ref="C99:D99"/>
    <mergeCell ref="C100:D100"/>
    <mergeCell ref="C101:D101"/>
    <mergeCell ref="C102:D102"/>
    <mergeCell ref="C117:D117"/>
    <mergeCell ref="C118:D118"/>
    <mergeCell ref="C113:D113"/>
    <mergeCell ref="C114:D114"/>
    <mergeCell ref="C115:D115"/>
    <mergeCell ref="C116:D116"/>
    <mergeCell ref="C103:D103"/>
    <mergeCell ref="C104:D104"/>
  </mergeCells>
  <conditionalFormatting sqref="C52 C60">
    <cfRule type="expression" dxfId="131" priority="105">
      <formula>#REF!="NO"</formula>
    </cfRule>
  </conditionalFormatting>
  <conditionalFormatting sqref="C100:F130">
    <cfRule type="expression" dxfId="130" priority="13">
      <formula>#REF!="NO"</formula>
    </cfRule>
  </conditionalFormatting>
  <conditionalFormatting sqref="C27:G73">
    <cfRule type="expression" dxfId="129" priority="15">
      <formula>#REF!="NO"</formula>
    </cfRule>
  </conditionalFormatting>
  <conditionalFormatting sqref="E77:F96">
    <cfRule type="expression" dxfId="128" priority="1">
      <formula>#REF!="NO"</formula>
    </cfRule>
  </conditionalFormatting>
  <conditionalFormatting sqref="F8:F17">
    <cfRule type="expression" dxfId="127" priority="34">
      <formula>#REF!="NO"</formula>
    </cfRule>
  </conditionalFormatting>
  <conditionalFormatting sqref="F21:F23">
    <cfRule type="expression" dxfId="126" priority="35">
      <formula>#REF!="NO"</formula>
    </cfRule>
  </conditionalFormatting>
  <dataValidations count="3">
    <dataValidation type="decimal" operator="greaterThanOrEqual" allowBlank="1" showInputMessage="1" showErrorMessage="1" error="The Pickup Allowance cannot be a negative number." sqref="F16" xr:uid="{00000000-0002-0000-0500-000002000000}">
      <formula1>0</formula1>
    </dataValidation>
    <dataValidation type="decimal" allowBlank="1" showInputMessage="1" showErrorMessage="1" error="Invalid Entry - Bidder must enter a value that is greater than $0" sqref="F21:F22" xr:uid="{00000000-0002-0000-0500-000001000000}">
      <formula1>0</formula1>
      <formula2>9E+21</formula2>
    </dataValidation>
    <dataValidation type="decimal" allowBlank="1" showInputMessage="1" showErrorMessage="1" error="The Additional Options NYS Discount entered must be greater than 0%, or less than or equal to 100%." sqref="F23" xr:uid="{00000000-0002-0000-0500-000000000000}">
      <formula1>0.01</formula1>
      <formula2>100</formula2>
    </dataValidation>
  </dataValidations>
  <pageMargins left="0.25" right="0.25" top="0.5" bottom="0.25" header="0.3" footer="0.3"/>
  <pageSetup scale="93" fitToHeight="0" orientation="landscape" r:id="rId1"/>
  <rowBreaks count="4" manualBreakCount="4">
    <brk id="27" max="9" man="1"/>
    <brk id="54" max="8" man="1"/>
    <brk id="73" max="8" man="1"/>
    <brk id="108"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756D7-B818-4446-886D-F2FD70230085}">
  <sheetPr codeName="Sheet6">
    <tabColor theme="5" tint="0.59999389629810485"/>
    <pageSetUpPr autoPageBreaks="0" fitToPage="1"/>
  </sheetPr>
  <dimension ref="A1:I135"/>
  <sheetViews>
    <sheetView showGridLines="0" zoomScaleNormal="100" zoomScaleSheetLayoutView="80" workbookViewId="0">
      <selection activeCell="A3" sqref="A3:D3"/>
    </sheetView>
  </sheetViews>
  <sheetFormatPr defaultColWidth="9.140625" defaultRowHeight="12.75" x14ac:dyDescent="0.2"/>
  <cols>
    <col min="1" max="1" width="35" style="2" customWidth="1"/>
    <col min="2" max="2" width="62.85546875" style="2" customWidth="1"/>
    <col min="3" max="3" width="14.7109375" style="2" customWidth="1"/>
    <col min="4" max="4" width="22" style="2" customWidth="1"/>
    <col min="5" max="5" width="2.7109375" style="2" customWidth="1"/>
    <col min="6" max="6" width="21.7109375" style="5" bestFit="1" customWidth="1"/>
    <col min="7" max="16384" width="9.140625" style="2"/>
  </cols>
  <sheetData>
    <row r="1" spans="1:9" ht="18" customHeight="1" x14ac:dyDescent="0.2">
      <c r="A1" s="245" t="str">
        <f>'A (Item 2-G)'!$A$1</f>
        <v>GROUP 40524-23254, SCHOOL BUSES (Statewide)                                                             Attachment 1 - Specifications and Pricing (Revised October 15, 2026)</v>
      </c>
      <c r="F1" s="2"/>
    </row>
    <row r="2" spans="1:9" s="19" customFormat="1" ht="18" customHeight="1" thickBot="1" x14ac:dyDescent="0.3">
      <c r="A2" s="305" t="str">
        <f>'Attachment 1 - Summary'!B2</f>
        <v>PC69862 Matthews Buses, Inc.</v>
      </c>
      <c r="B2" s="20"/>
      <c r="C2" s="20"/>
      <c r="D2" s="20"/>
      <c r="E2" s="20"/>
      <c r="F2" s="20"/>
    </row>
    <row r="3" spans="1:9" ht="24" thickBot="1" x14ac:dyDescent="0.25">
      <c r="A3" s="467" t="s">
        <v>260</v>
      </c>
      <c r="B3" s="468"/>
      <c r="C3" s="468"/>
      <c r="D3" s="469"/>
      <c r="E3" s="8"/>
      <c r="F3" s="8"/>
    </row>
    <row r="4" spans="1:9" ht="51" customHeight="1" thickBot="1" x14ac:dyDescent="0.25">
      <c r="A4" s="329" t="s">
        <v>259</v>
      </c>
      <c r="B4" s="330"/>
      <c r="C4" s="330"/>
      <c r="D4" s="331"/>
      <c r="E4" s="8"/>
      <c r="F4" s="8"/>
    </row>
    <row r="5" spans="1:9" s="4" customFormat="1" ht="11.25" customHeight="1" thickBot="1" x14ac:dyDescent="0.3">
      <c r="A5" s="332"/>
      <c r="B5" s="333"/>
      <c r="C5" s="333"/>
      <c r="D5" s="334"/>
      <c r="E5" s="334"/>
      <c r="F5" s="334"/>
    </row>
    <row r="6" spans="1:9" s="7" customFormat="1" ht="32.25" thickBot="1" x14ac:dyDescent="0.25">
      <c r="A6" s="335" t="s">
        <v>151</v>
      </c>
      <c r="B6" s="336"/>
      <c r="C6" s="336"/>
      <c r="D6" s="337"/>
      <c r="E6" s="30"/>
      <c r="F6" s="208" t="s">
        <v>392</v>
      </c>
    </row>
    <row r="7" spans="1:9" s="4" customFormat="1" ht="15" customHeight="1" thickBot="1" x14ac:dyDescent="0.3">
      <c r="A7" s="35" t="s">
        <v>6</v>
      </c>
      <c r="B7" s="21" t="s">
        <v>165</v>
      </c>
      <c r="C7" s="26"/>
      <c r="D7" s="34"/>
      <c r="E7" s="31"/>
      <c r="F7" s="246" t="s">
        <v>19</v>
      </c>
    </row>
    <row r="8" spans="1:9" ht="65.25" thickTop="1" thickBot="1" x14ac:dyDescent="0.25">
      <c r="A8" s="36" t="s">
        <v>9</v>
      </c>
      <c r="B8" s="323" t="s">
        <v>152</v>
      </c>
      <c r="C8" s="324"/>
      <c r="D8" s="325"/>
      <c r="E8" s="12"/>
      <c r="F8" s="178" t="s">
        <v>393</v>
      </c>
    </row>
    <row r="9" spans="1:9" s="7" customFormat="1" ht="39.6" customHeight="1" thickTop="1" thickBot="1" x14ac:dyDescent="0.25">
      <c r="A9" s="36" t="s">
        <v>136</v>
      </c>
      <c r="B9" s="323" t="s">
        <v>191</v>
      </c>
      <c r="C9" s="324"/>
      <c r="D9" s="325"/>
      <c r="E9" s="12"/>
      <c r="F9" s="178" t="s">
        <v>394</v>
      </c>
    </row>
    <row r="10" spans="1:9" ht="14.1" customHeight="1" thickTop="1" x14ac:dyDescent="0.2">
      <c r="A10" s="37" t="s">
        <v>0</v>
      </c>
      <c r="B10" s="314" t="s">
        <v>154</v>
      </c>
      <c r="C10" s="315"/>
      <c r="D10" s="316"/>
      <c r="E10" s="12"/>
      <c r="F10" s="180" t="s">
        <v>395</v>
      </c>
    </row>
    <row r="11" spans="1:9" x14ac:dyDescent="0.2">
      <c r="A11" s="37" t="s">
        <v>1</v>
      </c>
      <c r="B11" s="314" t="s">
        <v>153</v>
      </c>
      <c r="C11" s="315"/>
      <c r="D11" s="316"/>
      <c r="E11" s="12"/>
      <c r="F11" s="180" t="s">
        <v>396</v>
      </c>
    </row>
    <row r="12" spans="1:9" ht="15" customHeight="1" thickBot="1" x14ac:dyDescent="0.25">
      <c r="A12" s="38" t="s">
        <v>2</v>
      </c>
      <c r="B12" s="317" t="s">
        <v>155</v>
      </c>
      <c r="C12" s="318"/>
      <c r="D12" s="319"/>
      <c r="E12" s="12"/>
      <c r="F12" s="181" t="s">
        <v>397</v>
      </c>
      <c r="I12" s="2" t="s">
        <v>258</v>
      </c>
    </row>
    <row r="13" spans="1:9" ht="13.5" thickTop="1" x14ac:dyDescent="0.2">
      <c r="A13" s="37" t="s">
        <v>3</v>
      </c>
      <c r="B13" s="314" t="s">
        <v>157</v>
      </c>
      <c r="C13" s="315"/>
      <c r="D13" s="316"/>
      <c r="E13" s="12"/>
      <c r="F13" s="180" t="s">
        <v>337</v>
      </c>
    </row>
    <row r="14" spans="1:9" x14ac:dyDescent="0.2">
      <c r="A14" s="37" t="s">
        <v>4</v>
      </c>
      <c r="B14" s="314" t="s">
        <v>156</v>
      </c>
      <c r="C14" s="315"/>
      <c r="D14" s="316"/>
      <c r="E14" s="12"/>
      <c r="F14" s="180" t="s">
        <v>398</v>
      </c>
    </row>
    <row r="15" spans="1:9" ht="15.75" customHeight="1" thickBot="1" x14ac:dyDescent="0.25">
      <c r="A15" s="39" t="s">
        <v>5</v>
      </c>
      <c r="B15" s="317" t="s">
        <v>158</v>
      </c>
      <c r="C15" s="318"/>
      <c r="D15" s="319"/>
      <c r="E15" s="12"/>
      <c r="F15" s="182" t="s">
        <v>399</v>
      </c>
    </row>
    <row r="16" spans="1:9" ht="29.25" customHeight="1" thickTop="1" x14ac:dyDescent="0.2">
      <c r="A16" s="37" t="s">
        <v>101</v>
      </c>
      <c r="B16" s="320" t="s">
        <v>160</v>
      </c>
      <c r="C16" s="321"/>
      <c r="D16" s="322"/>
      <c r="E16" s="12"/>
      <c r="F16" s="183">
        <v>100</v>
      </c>
    </row>
    <row r="17" spans="1:6" ht="30.75" customHeight="1" thickBot="1" x14ac:dyDescent="0.25">
      <c r="A17" s="39" t="s">
        <v>43</v>
      </c>
      <c r="B17" s="317" t="s">
        <v>159</v>
      </c>
      <c r="C17" s="318"/>
      <c r="D17" s="319"/>
      <c r="E17" s="12"/>
      <c r="F17" s="182" t="s">
        <v>369</v>
      </c>
    </row>
    <row r="18" spans="1:6" s="9" customFormat="1" ht="14.25" thickTop="1" thickBot="1" x14ac:dyDescent="0.25">
      <c r="C18" s="10"/>
      <c r="D18" s="10"/>
      <c r="E18" s="10"/>
      <c r="F18" s="185"/>
    </row>
    <row r="19" spans="1:6" s="11" customFormat="1" ht="32.25" thickBot="1" x14ac:dyDescent="0.25">
      <c r="A19" s="335" t="s">
        <v>150</v>
      </c>
      <c r="B19" s="336"/>
      <c r="C19" s="336"/>
      <c r="D19" s="337"/>
      <c r="E19" s="30"/>
      <c r="F19" s="208" t="s">
        <v>392</v>
      </c>
    </row>
    <row r="20" spans="1:6" s="4" customFormat="1" ht="15" customHeight="1" thickBot="1" x14ac:dyDescent="0.3">
      <c r="A20" s="49" t="s">
        <v>6</v>
      </c>
      <c r="B20" s="25" t="s">
        <v>165</v>
      </c>
      <c r="C20" s="27"/>
      <c r="D20" s="42"/>
      <c r="E20" s="31"/>
      <c r="F20" s="246" t="s">
        <v>19</v>
      </c>
    </row>
    <row r="21" spans="1:6" ht="56.25" customHeight="1" x14ac:dyDescent="0.2">
      <c r="A21" s="40" t="s">
        <v>42</v>
      </c>
      <c r="B21" s="338" t="s">
        <v>161</v>
      </c>
      <c r="C21" s="339"/>
      <c r="D21" s="340"/>
      <c r="E21" s="12"/>
      <c r="F21" s="247">
        <f>116565.17*('PPI Adj'!D6)</f>
        <v>136031.55339000002</v>
      </c>
    </row>
    <row r="22" spans="1:6" ht="33" customHeight="1" thickBot="1" x14ac:dyDescent="0.25">
      <c r="A22" s="41" t="s">
        <v>41</v>
      </c>
      <c r="B22" s="359" t="s">
        <v>163</v>
      </c>
      <c r="C22" s="360"/>
      <c r="D22" s="361"/>
      <c r="E22" s="1"/>
      <c r="F22" s="188">
        <v>20</v>
      </c>
    </row>
    <row r="23" spans="1:6" ht="13.5" thickBot="1" x14ac:dyDescent="0.25">
      <c r="A23" s="52"/>
      <c r="B23" s="1"/>
      <c r="C23" s="1"/>
      <c r="D23" s="1"/>
      <c r="E23" s="1"/>
      <c r="F23" s="249"/>
    </row>
    <row r="24" spans="1:6" s="7" customFormat="1" ht="32.25" thickBot="1" x14ac:dyDescent="0.25">
      <c r="A24" s="362" t="s">
        <v>164</v>
      </c>
      <c r="B24" s="363"/>
      <c r="C24" s="363"/>
      <c r="D24" s="364"/>
      <c r="E24" s="32"/>
      <c r="F24" s="208" t="s">
        <v>392</v>
      </c>
    </row>
    <row r="25" spans="1:6" s="3" customFormat="1" ht="32.25" customHeight="1" thickBot="1" x14ac:dyDescent="0.3">
      <c r="A25" s="49" t="s">
        <v>6</v>
      </c>
      <c r="B25" s="50" t="s">
        <v>7</v>
      </c>
      <c r="C25" s="365" t="s">
        <v>165</v>
      </c>
      <c r="D25" s="366"/>
      <c r="E25" s="33"/>
      <c r="F25" s="246" t="s">
        <v>19</v>
      </c>
    </row>
    <row r="26" spans="1:6" s="12" customFormat="1" ht="81" customHeight="1" thickBot="1" x14ac:dyDescent="0.3">
      <c r="A26" s="43" t="s">
        <v>8</v>
      </c>
      <c r="B26" s="23" t="s">
        <v>257</v>
      </c>
      <c r="C26" s="341" t="s">
        <v>118</v>
      </c>
      <c r="D26" s="342"/>
      <c r="E26" s="28"/>
      <c r="F26" s="184">
        <v>25500</v>
      </c>
    </row>
    <row r="27" spans="1:6" s="12" customFormat="1" x14ac:dyDescent="0.25">
      <c r="A27" s="343" t="s">
        <v>21</v>
      </c>
      <c r="B27" s="345" t="s">
        <v>256</v>
      </c>
      <c r="C27" s="347" t="s">
        <v>67</v>
      </c>
      <c r="D27" s="348"/>
      <c r="E27" s="28"/>
      <c r="F27" s="192">
        <v>5</v>
      </c>
    </row>
    <row r="28" spans="1:6" s="12" customFormat="1" ht="54" customHeight="1" thickBot="1" x14ac:dyDescent="0.3">
      <c r="A28" s="344"/>
      <c r="B28" s="346"/>
      <c r="C28" s="341" t="s">
        <v>68</v>
      </c>
      <c r="D28" s="342"/>
      <c r="E28" s="28"/>
      <c r="F28" s="184">
        <v>30</v>
      </c>
    </row>
    <row r="29" spans="1:6" s="12" customFormat="1" ht="13.5" thickBot="1" x14ac:dyDescent="0.3">
      <c r="A29" s="44" t="s">
        <v>123</v>
      </c>
      <c r="B29" s="24" t="s">
        <v>108</v>
      </c>
      <c r="C29" s="357"/>
      <c r="D29" s="358"/>
      <c r="E29" s="29"/>
      <c r="F29" s="193"/>
    </row>
    <row r="30" spans="1:6" s="12" customFormat="1" x14ac:dyDescent="0.25">
      <c r="A30" s="343" t="s">
        <v>59</v>
      </c>
      <c r="B30" s="345"/>
      <c r="C30" s="347" t="s">
        <v>58</v>
      </c>
      <c r="D30" s="348"/>
      <c r="E30" s="28"/>
      <c r="F30" s="192">
        <v>158</v>
      </c>
    </row>
    <row r="31" spans="1:6" s="12" customFormat="1" x14ac:dyDescent="0.25">
      <c r="A31" s="351"/>
      <c r="B31" s="352"/>
      <c r="C31" s="353" t="s">
        <v>57</v>
      </c>
      <c r="D31" s="354"/>
      <c r="E31" s="28"/>
      <c r="F31" s="180">
        <v>299.8</v>
      </c>
    </row>
    <row r="32" spans="1:6" s="12" customFormat="1" x14ac:dyDescent="0.25">
      <c r="A32" s="351"/>
      <c r="B32" s="352"/>
      <c r="C32" s="353" t="s">
        <v>69</v>
      </c>
      <c r="D32" s="354"/>
      <c r="E32" s="28"/>
      <c r="F32" s="180">
        <v>90</v>
      </c>
    </row>
    <row r="33" spans="1:6" s="12" customFormat="1" x14ac:dyDescent="0.25">
      <c r="A33" s="351"/>
      <c r="B33" s="352"/>
      <c r="C33" s="355" t="s">
        <v>70</v>
      </c>
      <c r="D33" s="356"/>
      <c r="E33" s="28"/>
      <c r="F33" s="180">
        <v>78</v>
      </c>
    </row>
    <row r="34" spans="1:6" s="12" customFormat="1" ht="15.6" customHeight="1" thickBot="1" x14ac:dyDescent="0.3">
      <c r="A34" s="344"/>
      <c r="B34" s="346"/>
      <c r="C34" s="341" t="s">
        <v>111</v>
      </c>
      <c r="D34" s="342"/>
      <c r="E34" s="28"/>
      <c r="F34" s="184">
        <v>255</v>
      </c>
    </row>
    <row r="35" spans="1:6" s="12" customFormat="1" ht="15.95" customHeight="1" thickBot="1" x14ac:dyDescent="0.3">
      <c r="A35" s="44" t="s">
        <v>224</v>
      </c>
      <c r="B35" s="24" t="s">
        <v>223</v>
      </c>
      <c r="C35" s="357"/>
      <c r="D35" s="358"/>
      <c r="E35" s="29"/>
      <c r="F35" s="193"/>
    </row>
    <row r="36" spans="1:6" s="12" customFormat="1" ht="15.6" customHeight="1" x14ac:dyDescent="0.25">
      <c r="A36" s="343" t="s">
        <v>11</v>
      </c>
      <c r="B36" s="345"/>
      <c r="C36" s="347" t="s">
        <v>24</v>
      </c>
      <c r="D36" s="348"/>
      <c r="E36" s="28"/>
      <c r="F36" s="192">
        <v>8000</v>
      </c>
    </row>
    <row r="37" spans="1:6" s="12" customFormat="1" ht="15.6" customHeight="1" thickBot="1" x14ac:dyDescent="0.3">
      <c r="A37" s="344"/>
      <c r="B37" s="346"/>
      <c r="C37" s="341" t="s">
        <v>22</v>
      </c>
      <c r="D37" s="342"/>
      <c r="E37" s="28"/>
      <c r="F37" s="184">
        <v>8000</v>
      </c>
    </row>
    <row r="38" spans="1:6" s="12" customFormat="1" ht="15" customHeight="1" x14ac:dyDescent="0.25">
      <c r="A38" s="343" t="s">
        <v>16</v>
      </c>
      <c r="B38" s="345"/>
      <c r="C38" s="347" t="s">
        <v>24</v>
      </c>
      <c r="D38" s="348"/>
      <c r="E38" s="28"/>
      <c r="F38" s="192">
        <v>17500</v>
      </c>
    </row>
    <row r="39" spans="1:6" s="12" customFormat="1" ht="15.6" customHeight="1" thickBot="1" x14ac:dyDescent="0.3">
      <c r="A39" s="344"/>
      <c r="B39" s="346"/>
      <c r="C39" s="349" t="s">
        <v>23</v>
      </c>
      <c r="D39" s="350"/>
      <c r="E39" s="28"/>
      <c r="F39" s="184">
        <v>17500</v>
      </c>
    </row>
    <row r="40" spans="1:6" s="12" customFormat="1" ht="15.6" customHeight="1" thickBot="1" x14ac:dyDescent="0.3">
      <c r="A40" s="44" t="s">
        <v>52</v>
      </c>
      <c r="B40" s="24" t="s">
        <v>53</v>
      </c>
      <c r="C40" s="357"/>
      <c r="D40" s="358"/>
      <c r="E40" s="29"/>
      <c r="F40" s="193"/>
    </row>
    <row r="41" spans="1:6" s="12" customFormat="1" x14ac:dyDescent="0.25">
      <c r="A41" s="343" t="s">
        <v>219</v>
      </c>
      <c r="B41" s="345" t="s">
        <v>222</v>
      </c>
      <c r="C41" s="347" t="s">
        <v>221</v>
      </c>
      <c r="D41" s="348"/>
      <c r="E41" s="28"/>
      <c r="F41" s="192" t="s">
        <v>255</v>
      </c>
    </row>
    <row r="42" spans="1:6" s="12" customFormat="1" ht="14.45" customHeight="1" x14ac:dyDescent="0.25">
      <c r="A42" s="351"/>
      <c r="B42" s="352"/>
      <c r="C42" s="353" t="s">
        <v>220</v>
      </c>
      <c r="D42" s="354"/>
      <c r="E42" s="28"/>
      <c r="F42" s="180" t="s">
        <v>400</v>
      </c>
    </row>
    <row r="43" spans="1:6" s="12" customFormat="1" ht="80.45" customHeight="1" thickBot="1" x14ac:dyDescent="0.3">
      <c r="A43" s="344"/>
      <c r="B43" s="352"/>
      <c r="C43" s="349"/>
      <c r="D43" s="350"/>
      <c r="E43" s="28"/>
      <c r="F43" s="179"/>
    </row>
    <row r="44" spans="1:6" s="12" customFormat="1" ht="28.5" customHeight="1" thickBot="1" x14ac:dyDescent="0.3">
      <c r="A44" s="44" t="s">
        <v>219</v>
      </c>
      <c r="B44" s="24" t="s">
        <v>218</v>
      </c>
      <c r="C44" s="357"/>
      <c r="D44" s="358"/>
      <c r="E44" s="29"/>
      <c r="F44" s="193"/>
    </row>
    <row r="45" spans="1:6" s="12" customFormat="1" ht="13.5" thickBot="1" x14ac:dyDescent="0.3">
      <c r="A45" s="367" t="s">
        <v>12</v>
      </c>
      <c r="B45" s="368" t="s">
        <v>142</v>
      </c>
      <c r="C45" s="347" t="s">
        <v>174</v>
      </c>
      <c r="D45" s="348"/>
      <c r="E45" s="28"/>
      <c r="F45" s="192" t="s">
        <v>401</v>
      </c>
    </row>
    <row r="46" spans="1:6" s="12" customFormat="1" ht="13.5" thickBot="1" x14ac:dyDescent="0.3">
      <c r="A46" s="367"/>
      <c r="B46" s="368"/>
      <c r="C46" s="353" t="s">
        <v>175</v>
      </c>
      <c r="D46" s="354"/>
      <c r="E46" s="28"/>
      <c r="F46" s="180">
        <v>5675</v>
      </c>
    </row>
    <row r="47" spans="1:6" s="12" customFormat="1" ht="13.5" thickBot="1" x14ac:dyDescent="0.3">
      <c r="A47" s="367"/>
      <c r="B47" s="368"/>
      <c r="C47" s="353" t="s">
        <v>176</v>
      </c>
      <c r="D47" s="354"/>
      <c r="E47" s="28"/>
      <c r="F47" s="209" t="s">
        <v>401</v>
      </c>
    </row>
    <row r="48" spans="1:6" s="12" customFormat="1" ht="13.5" thickBot="1" x14ac:dyDescent="0.3">
      <c r="A48" s="367"/>
      <c r="B48" s="368"/>
      <c r="C48" s="353" t="s">
        <v>177</v>
      </c>
      <c r="D48" s="354"/>
      <c r="E48" s="28"/>
      <c r="F48" s="180">
        <v>5355</v>
      </c>
    </row>
    <row r="49" spans="1:6" s="12" customFormat="1" ht="13.5" thickBot="1" x14ac:dyDescent="0.3">
      <c r="A49" s="367"/>
      <c r="B49" s="368"/>
      <c r="C49" s="353" t="s">
        <v>112</v>
      </c>
      <c r="D49" s="354"/>
      <c r="E49" s="28"/>
      <c r="F49" s="180" t="s">
        <v>402</v>
      </c>
    </row>
    <row r="50" spans="1:6" s="12" customFormat="1" ht="13.5" thickBot="1" x14ac:dyDescent="0.3">
      <c r="A50" s="367"/>
      <c r="B50" s="368"/>
      <c r="C50" s="353" t="s">
        <v>113</v>
      </c>
      <c r="D50" s="354"/>
      <c r="E50" s="28"/>
      <c r="F50" s="180" t="s">
        <v>403</v>
      </c>
    </row>
    <row r="51" spans="1:6" s="12" customFormat="1" ht="13.5" thickBot="1" x14ac:dyDescent="0.3">
      <c r="A51" s="367"/>
      <c r="B51" s="368"/>
      <c r="C51" s="355" t="s">
        <v>114</v>
      </c>
      <c r="D51" s="356"/>
      <c r="E51" s="28"/>
      <c r="F51" s="180" t="s">
        <v>404</v>
      </c>
    </row>
    <row r="52" spans="1:6" s="12" customFormat="1" ht="14.45" customHeight="1" thickBot="1" x14ac:dyDescent="0.3">
      <c r="A52" s="367"/>
      <c r="B52" s="368"/>
      <c r="C52" s="341" t="s">
        <v>115</v>
      </c>
      <c r="D52" s="342"/>
      <c r="E52" s="28"/>
      <c r="F52" s="184" t="s">
        <v>403</v>
      </c>
    </row>
    <row r="53" spans="1:6" s="12" customFormat="1" ht="15" customHeight="1" x14ac:dyDescent="0.25">
      <c r="A53" s="343" t="s">
        <v>10</v>
      </c>
      <c r="B53" s="345" t="s">
        <v>217</v>
      </c>
      <c r="C53" s="347" t="s">
        <v>116</v>
      </c>
      <c r="D53" s="348"/>
      <c r="E53" s="28"/>
      <c r="F53" s="192">
        <v>6</v>
      </c>
    </row>
    <row r="54" spans="1:6" s="12" customFormat="1" x14ac:dyDescent="0.25">
      <c r="A54" s="351"/>
      <c r="B54" s="352"/>
      <c r="C54" s="353" t="s">
        <v>117</v>
      </c>
      <c r="D54" s="354"/>
      <c r="E54" s="28"/>
      <c r="F54" s="180" t="s">
        <v>344</v>
      </c>
    </row>
    <row r="55" spans="1:6" s="12" customFormat="1" ht="14.45" customHeight="1" thickBot="1" x14ac:dyDescent="0.3">
      <c r="A55" s="351"/>
      <c r="B55" s="352"/>
      <c r="C55" s="349" t="s">
        <v>71</v>
      </c>
      <c r="D55" s="350"/>
      <c r="E55" s="28"/>
      <c r="F55" s="179" t="s">
        <v>405</v>
      </c>
    </row>
    <row r="56" spans="1:6" s="12" customFormat="1" ht="77.099999999999994" customHeight="1" thickBot="1" x14ac:dyDescent="0.3">
      <c r="A56" s="45" t="s">
        <v>9</v>
      </c>
      <c r="B56" s="22" t="s">
        <v>254</v>
      </c>
      <c r="C56" s="355"/>
      <c r="D56" s="356"/>
      <c r="E56" s="28"/>
      <c r="F56" s="192"/>
    </row>
    <row r="57" spans="1:6" s="12" customFormat="1" ht="28.5" customHeight="1" thickBot="1" x14ac:dyDescent="0.3">
      <c r="A57" s="45" t="s">
        <v>253</v>
      </c>
      <c r="B57" s="22" t="s">
        <v>252</v>
      </c>
      <c r="C57" s="357"/>
      <c r="D57" s="358"/>
      <c r="E57" s="29"/>
      <c r="F57" s="196"/>
    </row>
    <row r="58" spans="1:6" s="12" customFormat="1" ht="25.5" x14ac:dyDescent="0.25">
      <c r="A58" s="343" t="s">
        <v>25</v>
      </c>
      <c r="B58" s="345" t="s">
        <v>93</v>
      </c>
      <c r="C58" s="347" t="s">
        <v>72</v>
      </c>
      <c r="D58" s="348"/>
      <c r="E58" s="28"/>
      <c r="F58" s="192" t="s">
        <v>406</v>
      </c>
    </row>
    <row r="59" spans="1:6" s="12" customFormat="1" ht="54" customHeight="1" thickBot="1" x14ac:dyDescent="0.3">
      <c r="A59" s="344"/>
      <c r="B59" s="346"/>
      <c r="C59" s="341" t="s">
        <v>73</v>
      </c>
      <c r="D59" s="342"/>
      <c r="E59" s="28"/>
      <c r="F59" s="184">
        <v>185</v>
      </c>
    </row>
    <row r="60" spans="1:6" s="12" customFormat="1" x14ac:dyDescent="0.25">
      <c r="A60" s="343" t="s">
        <v>26</v>
      </c>
      <c r="B60" s="345" t="s">
        <v>251</v>
      </c>
      <c r="C60" s="347" t="s">
        <v>74</v>
      </c>
      <c r="D60" s="348"/>
      <c r="E60" s="28"/>
      <c r="F60" s="192" t="s">
        <v>407</v>
      </c>
    </row>
    <row r="61" spans="1:6" s="12" customFormat="1" x14ac:dyDescent="0.25">
      <c r="A61" s="351"/>
      <c r="B61" s="352"/>
      <c r="C61" s="353" t="s">
        <v>75</v>
      </c>
      <c r="D61" s="354"/>
      <c r="E61" s="28"/>
      <c r="F61" s="180">
        <v>3</v>
      </c>
    </row>
    <row r="62" spans="1:6" s="12" customFormat="1" ht="32.25" customHeight="1" thickBot="1" x14ac:dyDescent="0.3">
      <c r="A62" s="344"/>
      <c r="B62" s="346"/>
      <c r="C62" s="341" t="s">
        <v>250</v>
      </c>
      <c r="D62" s="342"/>
      <c r="E62" s="28"/>
      <c r="F62" s="184" t="s">
        <v>408</v>
      </c>
    </row>
    <row r="63" spans="1:6" s="12" customFormat="1" ht="13.5" thickBot="1" x14ac:dyDescent="0.3">
      <c r="A63" s="44" t="s">
        <v>44</v>
      </c>
      <c r="B63" s="24" t="s">
        <v>45</v>
      </c>
      <c r="C63" s="357"/>
      <c r="D63" s="358"/>
      <c r="E63" s="29"/>
      <c r="F63" s="196"/>
    </row>
    <row r="64" spans="1:6" s="12" customFormat="1" ht="28.5" customHeight="1" thickBot="1" x14ac:dyDescent="0.3">
      <c r="A64" s="44" t="s">
        <v>44</v>
      </c>
      <c r="B64" s="24" t="s">
        <v>63</v>
      </c>
      <c r="C64" s="357"/>
      <c r="D64" s="358"/>
      <c r="E64" s="29"/>
      <c r="F64" s="196"/>
    </row>
    <row r="65" spans="1:6" s="12" customFormat="1" ht="26.25" thickBot="1" x14ac:dyDescent="0.3">
      <c r="A65" s="44" t="s">
        <v>44</v>
      </c>
      <c r="B65" s="24" t="s">
        <v>64</v>
      </c>
      <c r="C65" s="357"/>
      <c r="D65" s="358"/>
      <c r="E65" s="29"/>
      <c r="F65" s="196"/>
    </row>
    <row r="66" spans="1:6" s="12" customFormat="1" ht="26.25" thickBot="1" x14ac:dyDescent="0.3">
      <c r="A66" s="44" t="s">
        <v>50</v>
      </c>
      <c r="B66" s="24" t="s">
        <v>216</v>
      </c>
      <c r="C66" s="357"/>
      <c r="D66" s="358"/>
      <c r="E66" s="29"/>
      <c r="F66" s="196"/>
    </row>
    <row r="67" spans="1:6" s="12" customFormat="1" ht="15" customHeight="1" thickBot="1" x14ac:dyDescent="0.3">
      <c r="A67" s="44" t="s">
        <v>27</v>
      </c>
      <c r="B67" s="24" t="s">
        <v>215</v>
      </c>
      <c r="C67" s="369" t="s">
        <v>77</v>
      </c>
      <c r="D67" s="370"/>
      <c r="E67" s="28"/>
      <c r="F67" s="193" t="s">
        <v>409</v>
      </c>
    </row>
    <row r="68" spans="1:6" s="12" customFormat="1" ht="51.75" thickBot="1" x14ac:dyDescent="0.3">
      <c r="A68" s="44" t="s">
        <v>214</v>
      </c>
      <c r="B68" s="24" t="s">
        <v>213</v>
      </c>
      <c r="C68" s="369"/>
      <c r="D68" s="370"/>
      <c r="E68" s="28"/>
      <c r="F68" s="193"/>
    </row>
    <row r="69" spans="1:6" s="12" customFormat="1" ht="15" customHeight="1" x14ac:dyDescent="0.25">
      <c r="A69" s="343" t="s">
        <v>28</v>
      </c>
      <c r="B69" s="470" t="s">
        <v>249</v>
      </c>
      <c r="C69" s="472" t="s">
        <v>248</v>
      </c>
      <c r="D69" s="348"/>
      <c r="E69" s="28"/>
      <c r="F69" s="192">
        <v>35</v>
      </c>
    </row>
    <row r="70" spans="1:6" s="12" customFormat="1" ht="53.45" customHeight="1" thickBot="1" x14ac:dyDescent="0.3">
      <c r="A70" s="344"/>
      <c r="B70" s="471"/>
      <c r="C70" s="413" t="s">
        <v>247</v>
      </c>
      <c r="D70" s="342"/>
      <c r="E70" s="28"/>
      <c r="F70" s="184" t="s">
        <v>410</v>
      </c>
    </row>
    <row r="71" spans="1:6" s="12" customFormat="1" ht="39" thickBot="1" x14ac:dyDescent="0.3">
      <c r="A71" s="44" t="s">
        <v>51</v>
      </c>
      <c r="B71" s="24" t="s">
        <v>212</v>
      </c>
      <c r="C71" s="357"/>
      <c r="D71" s="358"/>
      <c r="E71" s="29"/>
      <c r="F71" s="193"/>
    </row>
    <row r="72" spans="1:6" s="12" customFormat="1" ht="39" thickBot="1" x14ac:dyDescent="0.3">
      <c r="A72" s="44" t="s">
        <v>54</v>
      </c>
      <c r="B72" s="24" t="s">
        <v>80</v>
      </c>
      <c r="C72" s="357"/>
      <c r="D72" s="358"/>
      <c r="E72" s="29"/>
      <c r="F72" s="193"/>
    </row>
    <row r="73" spans="1:6" s="12" customFormat="1" ht="77.099999999999994" customHeight="1" thickBot="1" x14ac:dyDescent="0.3">
      <c r="A73" s="44" t="s">
        <v>29</v>
      </c>
      <c r="B73" s="24" t="s">
        <v>211</v>
      </c>
      <c r="C73" s="357"/>
      <c r="D73" s="358"/>
      <c r="E73" s="29"/>
      <c r="F73" s="193"/>
    </row>
    <row r="74" spans="1:6" s="12" customFormat="1" ht="53.45" customHeight="1" thickBot="1" x14ac:dyDescent="0.3">
      <c r="A74" s="44" t="s">
        <v>31</v>
      </c>
      <c r="B74" s="24" t="s">
        <v>210</v>
      </c>
      <c r="C74" s="369" t="s">
        <v>30</v>
      </c>
      <c r="D74" s="370"/>
      <c r="E74" s="28"/>
      <c r="F74" s="193" t="s">
        <v>411</v>
      </c>
    </row>
    <row r="75" spans="1:6" s="12" customFormat="1" ht="26.25" thickBot="1" x14ac:dyDescent="0.3">
      <c r="A75" s="44" t="s">
        <v>55</v>
      </c>
      <c r="B75" s="24" t="s">
        <v>95</v>
      </c>
      <c r="C75" s="357"/>
      <c r="D75" s="358"/>
      <c r="E75" s="29"/>
      <c r="F75" s="193"/>
    </row>
    <row r="76" spans="1:6" s="12" customFormat="1" ht="13.5" thickBot="1" x14ac:dyDescent="0.3">
      <c r="A76" s="44" t="s">
        <v>32</v>
      </c>
      <c r="B76" s="24" t="s">
        <v>96</v>
      </c>
      <c r="C76" s="369" t="s">
        <v>30</v>
      </c>
      <c r="D76" s="370"/>
      <c r="E76" s="28"/>
      <c r="F76" s="193" t="s">
        <v>412</v>
      </c>
    </row>
    <row r="77" spans="1:6" s="12" customFormat="1" ht="39" thickBot="1" x14ac:dyDescent="0.3">
      <c r="A77" s="44" t="s">
        <v>56</v>
      </c>
      <c r="B77" s="24" t="s">
        <v>167</v>
      </c>
      <c r="C77" s="357"/>
      <c r="D77" s="358"/>
      <c r="E77" s="29"/>
      <c r="F77" s="193"/>
    </row>
    <row r="78" spans="1:6" s="12" customFormat="1" ht="26.25" thickBot="1" x14ac:dyDescent="0.3">
      <c r="A78" s="44" t="s">
        <v>48</v>
      </c>
      <c r="B78" s="24" t="s">
        <v>47</v>
      </c>
      <c r="C78" s="357"/>
      <c r="D78" s="358"/>
      <c r="E78" s="29"/>
      <c r="F78" s="193"/>
    </row>
    <row r="79" spans="1:6" s="12" customFormat="1" ht="26.25" thickBot="1" x14ac:dyDescent="0.3">
      <c r="A79" s="44" t="s">
        <v>49</v>
      </c>
      <c r="B79" s="24" t="s">
        <v>103</v>
      </c>
      <c r="C79" s="357"/>
      <c r="D79" s="358"/>
      <c r="E79" s="29"/>
      <c r="F79" s="193"/>
    </row>
    <row r="80" spans="1:6" s="12" customFormat="1" ht="13.5" thickBot="1" x14ac:dyDescent="0.3">
      <c r="A80" s="44" t="s">
        <v>46</v>
      </c>
      <c r="B80" s="24" t="s">
        <v>81</v>
      </c>
      <c r="C80" s="357"/>
      <c r="D80" s="358"/>
      <c r="E80" s="29"/>
      <c r="F80" s="193"/>
    </row>
    <row r="81" spans="1:6" ht="13.5" thickBot="1" x14ac:dyDescent="0.25">
      <c r="F81" s="250"/>
    </row>
    <row r="82" spans="1:6" s="15" customFormat="1" ht="32.25" thickBot="1" x14ac:dyDescent="0.3">
      <c r="A82" s="362" t="s">
        <v>168</v>
      </c>
      <c r="B82" s="363"/>
      <c r="C82" s="363"/>
      <c r="D82" s="364"/>
      <c r="E82" s="32"/>
      <c r="F82" s="208" t="s">
        <v>392</v>
      </c>
    </row>
    <row r="83" spans="1:6" s="3" customFormat="1" ht="15" customHeight="1" thickBot="1" x14ac:dyDescent="0.3">
      <c r="A83" s="371" t="s">
        <v>169</v>
      </c>
      <c r="B83" s="372"/>
      <c r="C83" s="372"/>
      <c r="D83" s="373"/>
      <c r="E83" s="33"/>
      <c r="F83" s="246" t="s">
        <v>19</v>
      </c>
    </row>
    <row r="84" spans="1:6" s="12" customFormat="1" x14ac:dyDescent="0.25">
      <c r="A84" s="374" t="s">
        <v>83</v>
      </c>
      <c r="B84" s="375"/>
      <c r="C84" s="375"/>
      <c r="D84" s="376"/>
      <c r="E84" s="29"/>
      <c r="F84" s="251">
        <f>-1010*('PPI Adj'!D6)</f>
        <v>-1178.67</v>
      </c>
    </row>
    <row r="85" spans="1:6" s="12" customFormat="1" x14ac:dyDescent="0.25">
      <c r="A85" s="377" t="s">
        <v>34</v>
      </c>
      <c r="B85" s="378"/>
      <c r="C85" s="378"/>
      <c r="D85" s="379"/>
      <c r="E85" s="28"/>
      <c r="F85" s="252">
        <f>947*('PPI Adj'!D6)</f>
        <v>1105.1490000000001</v>
      </c>
    </row>
    <row r="86" spans="1:6" s="12" customFormat="1" x14ac:dyDescent="0.25">
      <c r="A86" s="377" t="s">
        <v>35</v>
      </c>
      <c r="B86" s="378"/>
      <c r="C86" s="378"/>
      <c r="D86" s="379"/>
      <c r="E86" s="29"/>
      <c r="F86" s="252">
        <f>452*('PPI Adj'!D6)</f>
        <v>527.48400000000004</v>
      </c>
    </row>
    <row r="87" spans="1:6" s="12" customFormat="1" x14ac:dyDescent="0.25">
      <c r="A87" s="377" t="s">
        <v>36</v>
      </c>
      <c r="B87" s="378"/>
      <c r="C87" s="378"/>
      <c r="D87" s="379"/>
      <c r="E87" s="28"/>
      <c r="F87" s="252">
        <f>477.6*('PPI Adj'!D6)</f>
        <v>557.3592000000001</v>
      </c>
    </row>
    <row r="88" spans="1:6" s="12" customFormat="1" x14ac:dyDescent="0.25">
      <c r="A88" s="377" t="s">
        <v>60</v>
      </c>
      <c r="B88" s="378"/>
      <c r="C88" s="378"/>
      <c r="D88" s="379"/>
      <c r="E88" s="28"/>
      <c r="F88" s="252">
        <f>86*('PPI Adj'!D6)</f>
        <v>100.36200000000001</v>
      </c>
    </row>
    <row r="89" spans="1:6" s="12" customFormat="1" x14ac:dyDescent="0.25">
      <c r="A89" s="377" t="s">
        <v>61</v>
      </c>
      <c r="B89" s="378"/>
      <c r="C89" s="378"/>
      <c r="D89" s="379"/>
      <c r="E89" s="28"/>
      <c r="F89" s="252">
        <f>1419*('PPI Adj'!D6)</f>
        <v>1655.973</v>
      </c>
    </row>
    <row r="90" spans="1:6" s="12" customFormat="1" x14ac:dyDescent="0.25">
      <c r="A90" s="377" t="s">
        <v>86</v>
      </c>
      <c r="B90" s="378"/>
      <c r="C90" s="378"/>
      <c r="D90" s="379"/>
      <c r="E90" s="28"/>
      <c r="F90" s="252">
        <f>856*('PPI Adj'!D6)</f>
        <v>998.952</v>
      </c>
    </row>
    <row r="91" spans="1:6" x14ac:dyDescent="0.2">
      <c r="A91" s="377" t="s">
        <v>85</v>
      </c>
      <c r="B91" s="378"/>
      <c r="C91" s="378"/>
      <c r="D91" s="379"/>
      <c r="E91" s="28"/>
      <c r="F91" s="252">
        <f>5262*('PPI Adj'!D6)</f>
        <v>6140.7539999999999</v>
      </c>
    </row>
    <row r="92" spans="1:6" x14ac:dyDescent="0.2">
      <c r="A92" s="377" t="s">
        <v>13</v>
      </c>
      <c r="B92" s="378"/>
      <c r="C92" s="378"/>
      <c r="D92" s="379"/>
      <c r="E92" s="28"/>
      <c r="F92" s="252">
        <f>10801*('PPI Adj'!D6)</f>
        <v>12604.767</v>
      </c>
    </row>
    <row r="93" spans="1:6" x14ac:dyDescent="0.2">
      <c r="A93" s="377" t="s">
        <v>37</v>
      </c>
      <c r="B93" s="378"/>
      <c r="C93" s="378"/>
      <c r="D93" s="379"/>
      <c r="E93" s="29"/>
      <c r="F93" s="252">
        <f>595*('PPI Adj'!D6)</f>
        <v>694.36500000000001</v>
      </c>
    </row>
    <row r="94" spans="1:6" x14ac:dyDescent="0.2">
      <c r="A94" s="377" t="s">
        <v>38</v>
      </c>
      <c r="B94" s="378"/>
      <c r="C94" s="378"/>
      <c r="D94" s="379"/>
      <c r="E94" s="29"/>
      <c r="F94" s="252">
        <f>558*('PPI Adj'!D6)</f>
        <v>651.18600000000004</v>
      </c>
    </row>
    <row r="95" spans="1:6" x14ac:dyDescent="0.2">
      <c r="A95" s="377" t="s">
        <v>201</v>
      </c>
      <c r="B95" s="378"/>
      <c r="C95" s="378"/>
      <c r="D95" s="379"/>
      <c r="E95" s="29"/>
      <c r="F95" s="252" t="s">
        <v>183</v>
      </c>
    </row>
    <row r="96" spans="1:6" x14ac:dyDescent="0.2">
      <c r="A96" s="377" t="s">
        <v>39</v>
      </c>
      <c r="B96" s="378"/>
      <c r="C96" s="378"/>
      <c r="D96" s="379"/>
      <c r="E96" s="28"/>
      <c r="F96" s="252">
        <f>472*('PPI Adj'!D6)</f>
        <v>550.82400000000007</v>
      </c>
    </row>
    <row r="97" spans="1:6" x14ac:dyDescent="0.2">
      <c r="A97" s="377" t="s">
        <v>88</v>
      </c>
      <c r="B97" s="378"/>
      <c r="C97" s="378"/>
      <c r="D97" s="379"/>
      <c r="E97" s="28"/>
      <c r="F97" s="252">
        <f>4245*('PPI Adj'!D6)</f>
        <v>4953.915</v>
      </c>
    </row>
    <row r="98" spans="1:6" x14ac:dyDescent="0.2">
      <c r="A98" s="377" t="s">
        <v>40</v>
      </c>
      <c r="B98" s="378"/>
      <c r="C98" s="378"/>
      <c r="D98" s="379"/>
      <c r="E98" s="28"/>
      <c r="F98" s="252">
        <f>329*('PPI Adj'!D6)</f>
        <v>383.94300000000004</v>
      </c>
    </row>
    <row r="99" spans="1:6" x14ac:dyDescent="0.2">
      <c r="A99" s="377" t="s">
        <v>14</v>
      </c>
      <c r="B99" s="378"/>
      <c r="C99" s="378"/>
      <c r="D99" s="379"/>
      <c r="E99" s="28"/>
      <c r="F99" s="252">
        <f>8567*('PPI Adj'!D6)</f>
        <v>9997.6890000000003</v>
      </c>
    </row>
    <row r="100" spans="1:6" x14ac:dyDescent="0.2">
      <c r="A100" s="377" t="s">
        <v>91</v>
      </c>
      <c r="B100" s="378"/>
      <c r="C100" s="378"/>
      <c r="D100" s="379"/>
      <c r="E100" s="28"/>
      <c r="F100" s="252">
        <f>1971*('PPI Adj'!D6)</f>
        <v>2300.1570000000002</v>
      </c>
    </row>
    <row r="101" spans="1:6" x14ac:dyDescent="0.2">
      <c r="A101" s="383" t="s">
        <v>272</v>
      </c>
      <c r="B101" s="384"/>
      <c r="C101" s="384"/>
      <c r="D101" s="385"/>
      <c r="E101" s="28"/>
      <c r="F101" s="253">
        <f>-1775*('PPI Adj'!D6)</f>
        <v>-2071.4250000000002</v>
      </c>
    </row>
    <row r="102" spans="1:6" ht="15.6" customHeight="1" thickBot="1" x14ac:dyDescent="0.25">
      <c r="A102" s="380" t="s">
        <v>92</v>
      </c>
      <c r="B102" s="381"/>
      <c r="C102" s="381"/>
      <c r="D102" s="382"/>
      <c r="E102" s="29"/>
      <c r="F102" s="254">
        <f>2023*('PPI Adj'!D6)</f>
        <v>2360.8409999999999</v>
      </c>
    </row>
    <row r="103" spans="1:6" ht="13.5" thickBot="1" x14ac:dyDescent="0.25">
      <c r="F103" s="185"/>
    </row>
    <row r="104" spans="1:6" s="15" customFormat="1" ht="32.25" thickBot="1" x14ac:dyDescent="0.3">
      <c r="A104" s="362" t="s">
        <v>166</v>
      </c>
      <c r="B104" s="363"/>
      <c r="C104" s="363"/>
      <c r="D104" s="364"/>
      <c r="E104" s="32"/>
      <c r="F104" s="208" t="s">
        <v>392</v>
      </c>
    </row>
    <row r="105" spans="1:6" s="3" customFormat="1" ht="13.5" thickBot="1" x14ac:dyDescent="0.3">
      <c r="A105" s="46" t="s">
        <v>33</v>
      </c>
      <c r="B105" s="18" t="s">
        <v>7</v>
      </c>
      <c r="C105" s="386" t="s">
        <v>165</v>
      </c>
      <c r="D105" s="387"/>
      <c r="E105" s="33"/>
      <c r="F105" s="246" t="s">
        <v>19</v>
      </c>
    </row>
    <row r="106" spans="1:6" s="12" customFormat="1" ht="39" thickBot="1" x14ac:dyDescent="0.3">
      <c r="A106" s="47" t="s">
        <v>83</v>
      </c>
      <c r="B106" s="17" t="s">
        <v>146</v>
      </c>
      <c r="C106" s="388"/>
      <c r="D106" s="389"/>
      <c r="E106" s="29"/>
      <c r="F106" s="193"/>
    </row>
    <row r="107" spans="1:6" s="12" customFormat="1" ht="26.25" thickBot="1" x14ac:dyDescent="0.3">
      <c r="A107" s="44" t="s">
        <v>34</v>
      </c>
      <c r="B107" s="24" t="s">
        <v>107</v>
      </c>
      <c r="C107" s="369" t="s">
        <v>30</v>
      </c>
      <c r="D107" s="370"/>
      <c r="E107" s="28"/>
      <c r="F107" s="193" t="s">
        <v>352</v>
      </c>
    </row>
    <row r="108" spans="1:6" s="12" customFormat="1" ht="54" customHeight="1" thickBot="1" x14ac:dyDescent="0.3">
      <c r="A108" s="44" t="s">
        <v>35</v>
      </c>
      <c r="B108" s="24" t="s">
        <v>97</v>
      </c>
      <c r="C108" s="357"/>
      <c r="D108" s="358"/>
      <c r="E108" s="29"/>
      <c r="F108" s="193"/>
    </row>
    <row r="109" spans="1:6" s="12" customFormat="1" ht="26.25" thickBot="1" x14ac:dyDescent="0.3">
      <c r="A109" s="44" t="s">
        <v>36</v>
      </c>
      <c r="B109" s="24" t="s">
        <v>84</v>
      </c>
      <c r="C109" s="369" t="s">
        <v>99</v>
      </c>
      <c r="D109" s="370"/>
      <c r="E109" s="28"/>
      <c r="F109" s="193" t="s">
        <v>413</v>
      </c>
    </row>
    <row r="110" spans="1:6" s="12" customFormat="1" ht="12.75" customHeight="1" x14ac:dyDescent="0.25">
      <c r="A110" s="343" t="s">
        <v>60</v>
      </c>
      <c r="B110" s="345" t="s">
        <v>133</v>
      </c>
      <c r="C110" s="347" t="s">
        <v>203</v>
      </c>
      <c r="D110" s="348"/>
      <c r="E110" s="28"/>
      <c r="F110" s="192" t="s">
        <v>401</v>
      </c>
    </row>
    <row r="111" spans="1:6" s="12" customFormat="1" x14ac:dyDescent="0.25">
      <c r="A111" s="351"/>
      <c r="B111" s="352"/>
      <c r="C111" s="353" t="s">
        <v>202</v>
      </c>
      <c r="D111" s="354"/>
      <c r="E111" s="28"/>
      <c r="F111" s="180">
        <v>5675</v>
      </c>
    </row>
    <row r="112" spans="1:6" s="12" customFormat="1" x14ac:dyDescent="0.25">
      <c r="A112" s="351"/>
      <c r="B112" s="352"/>
      <c r="C112" s="353" t="s">
        <v>114</v>
      </c>
      <c r="D112" s="354"/>
      <c r="E112" s="28"/>
      <c r="F112" s="180" t="s">
        <v>414</v>
      </c>
    </row>
    <row r="113" spans="1:6" s="12" customFormat="1" ht="30.75" customHeight="1" thickBot="1" x14ac:dyDescent="0.3">
      <c r="A113" s="344"/>
      <c r="B113" s="346"/>
      <c r="C113" s="341" t="s">
        <v>115</v>
      </c>
      <c r="D113" s="342"/>
      <c r="E113" s="28"/>
      <c r="F113" s="184" t="s">
        <v>415</v>
      </c>
    </row>
    <row r="114" spans="1:6" s="12" customFormat="1" ht="12.75" customHeight="1" x14ac:dyDescent="0.25">
      <c r="A114" s="343" t="s">
        <v>61</v>
      </c>
      <c r="B114" s="345" t="s">
        <v>206</v>
      </c>
      <c r="C114" s="347" t="s">
        <v>205</v>
      </c>
      <c r="D114" s="348"/>
      <c r="E114" s="28"/>
      <c r="F114" s="192" t="s">
        <v>416</v>
      </c>
    </row>
    <row r="115" spans="1:6" s="12" customFormat="1" x14ac:dyDescent="0.25">
      <c r="A115" s="351"/>
      <c r="B115" s="352"/>
      <c r="C115" s="353" t="s">
        <v>204</v>
      </c>
      <c r="D115" s="354"/>
      <c r="E115" s="28"/>
      <c r="F115" s="209">
        <v>6610</v>
      </c>
    </row>
    <row r="116" spans="1:6" s="12" customFormat="1" x14ac:dyDescent="0.25">
      <c r="A116" s="351"/>
      <c r="B116" s="352"/>
      <c r="C116" s="353" t="s">
        <v>203</v>
      </c>
      <c r="D116" s="354"/>
      <c r="E116" s="28"/>
      <c r="F116" s="209" t="s">
        <v>416</v>
      </c>
    </row>
    <row r="117" spans="1:6" s="12" customFormat="1" x14ac:dyDescent="0.25">
      <c r="A117" s="351"/>
      <c r="B117" s="352"/>
      <c r="C117" s="353" t="s">
        <v>202</v>
      </c>
      <c r="D117" s="354"/>
      <c r="E117" s="28"/>
      <c r="F117" s="180">
        <v>6005</v>
      </c>
    </row>
    <row r="118" spans="1:6" s="12" customFormat="1" x14ac:dyDescent="0.25">
      <c r="A118" s="351"/>
      <c r="B118" s="352"/>
      <c r="C118" s="353" t="s">
        <v>112</v>
      </c>
      <c r="D118" s="354"/>
      <c r="E118" s="28"/>
      <c r="F118" s="180" t="s">
        <v>417</v>
      </c>
    </row>
    <row r="119" spans="1:6" s="12" customFormat="1" x14ac:dyDescent="0.25">
      <c r="A119" s="351"/>
      <c r="B119" s="352"/>
      <c r="C119" s="353" t="s">
        <v>113</v>
      </c>
      <c r="D119" s="354"/>
      <c r="E119" s="28"/>
      <c r="F119" s="209" t="s">
        <v>418</v>
      </c>
    </row>
    <row r="120" spans="1:6" s="12" customFormat="1" x14ac:dyDescent="0.25">
      <c r="A120" s="351"/>
      <c r="B120" s="352"/>
      <c r="C120" s="353" t="s">
        <v>114</v>
      </c>
      <c r="D120" s="354"/>
      <c r="E120" s="28"/>
      <c r="F120" s="209" t="s">
        <v>419</v>
      </c>
    </row>
    <row r="121" spans="1:6" s="12" customFormat="1" ht="14.1" customHeight="1" thickBot="1" x14ac:dyDescent="0.3">
      <c r="A121" s="344"/>
      <c r="B121" s="346"/>
      <c r="C121" s="341" t="s">
        <v>115</v>
      </c>
      <c r="D121" s="342"/>
      <c r="E121" s="28"/>
      <c r="F121" s="184" t="s">
        <v>418</v>
      </c>
    </row>
    <row r="122" spans="1:6" s="12" customFormat="1" ht="144.94999999999999" customHeight="1" thickBot="1" x14ac:dyDescent="0.3">
      <c r="A122" s="48" t="s">
        <v>86</v>
      </c>
      <c r="B122" s="16" t="s">
        <v>143</v>
      </c>
      <c r="C122" s="369" t="s">
        <v>104</v>
      </c>
      <c r="D122" s="370"/>
      <c r="E122" s="28"/>
      <c r="F122" s="192" t="s">
        <v>420</v>
      </c>
    </row>
    <row r="123" spans="1:6" ht="170.1" customHeight="1" thickBot="1" x14ac:dyDescent="0.25">
      <c r="A123" s="44" t="s">
        <v>85</v>
      </c>
      <c r="B123" s="13" t="s">
        <v>170</v>
      </c>
      <c r="C123" s="369" t="s">
        <v>104</v>
      </c>
      <c r="D123" s="370"/>
      <c r="E123" s="28"/>
      <c r="F123" s="193" t="s">
        <v>421</v>
      </c>
    </row>
    <row r="124" spans="1:6" x14ac:dyDescent="0.2">
      <c r="A124" s="343" t="s">
        <v>13</v>
      </c>
      <c r="B124" s="345" t="s">
        <v>98</v>
      </c>
      <c r="C124" s="347" t="s">
        <v>30</v>
      </c>
      <c r="D124" s="348"/>
      <c r="E124" s="28"/>
      <c r="F124" s="192" t="s">
        <v>422</v>
      </c>
    </row>
    <row r="125" spans="1:6" ht="27.95" customHeight="1" thickBot="1" x14ac:dyDescent="0.25">
      <c r="A125" s="344"/>
      <c r="B125" s="346"/>
      <c r="C125" s="341" t="s">
        <v>109</v>
      </c>
      <c r="D125" s="342"/>
      <c r="E125" s="28"/>
      <c r="F125" s="184" t="s">
        <v>362</v>
      </c>
    </row>
    <row r="126" spans="1:6" ht="66" customHeight="1" thickBot="1" x14ac:dyDescent="0.25">
      <c r="A126" s="44" t="s">
        <v>37</v>
      </c>
      <c r="B126" s="24" t="s">
        <v>135</v>
      </c>
      <c r="C126" s="357"/>
      <c r="D126" s="358"/>
      <c r="E126" s="29"/>
      <c r="F126" s="193" t="s">
        <v>378</v>
      </c>
    </row>
    <row r="127" spans="1:6" ht="40.5" customHeight="1" thickBot="1" x14ac:dyDescent="0.25">
      <c r="A127" s="44" t="s">
        <v>38</v>
      </c>
      <c r="B127" s="24" t="s">
        <v>87</v>
      </c>
      <c r="C127" s="357"/>
      <c r="D127" s="358"/>
      <c r="E127" s="29"/>
      <c r="F127" s="193"/>
    </row>
    <row r="128" spans="1:6" ht="14.25" customHeight="1" thickBot="1" x14ac:dyDescent="0.25">
      <c r="A128" s="44" t="s">
        <v>201</v>
      </c>
      <c r="B128" s="24" t="s">
        <v>200</v>
      </c>
      <c r="C128" s="369"/>
      <c r="D128" s="370"/>
      <c r="E128" s="28"/>
      <c r="F128" s="193"/>
    </row>
    <row r="129" spans="1:6" ht="27" customHeight="1" thickBot="1" x14ac:dyDescent="0.25">
      <c r="A129" s="44" t="s">
        <v>39</v>
      </c>
      <c r="B129" s="24" t="s">
        <v>106</v>
      </c>
      <c r="C129" s="369" t="s">
        <v>105</v>
      </c>
      <c r="D129" s="370"/>
      <c r="E129" s="28"/>
      <c r="F129" s="193" t="s">
        <v>324</v>
      </c>
    </row>
    <row r="130" spans="1:6" ht="15" customHeight="1" x14ac:dyDescent="0.2">
      <c r="A130" s="343" t="s">
        <v>88</v>
      </c>
      <c r="B130" s="345" t="s">
        <v>148</v>
      </c>
      <c r="C130" s="347" t="s">
        <v>100</v>
      </c>
      <c r="D130" s="348"/>
      <c r="E130" s="28"/>
      <c r="F130" s="192" t="s">
        <v>423</v>
      </c>
    </row>
    <row r="131" spans="1:6" ht="108" customHeight="1" thickBot="1" x14ac:dyDescent="0.25">
      <c r="A131" s="344"/>
      <c r="B131" s="346"/>
      <c r="C131" s="341" t="s">
        <v>110</v>
      </c>
      <c r="D131" s="342"/>
      <c r="E131" s="28"/>
      <c r="F131" s="255" t="s">
        <v>424</v>
      </c>
    </row>
    <row r="132" spans="1:6" ht="26.25" thickBot="1" x14ac:dyDescent="0.25">
      <c r="A132" s="44" t="s">
        <v>40</v>
      </c>
      <c r="B132" s="24" t="s">
        <v>137</v>
      </c>
      <c r="C132" s="369" t="s">
        <v>100</v>
      </c>
      <c r="D132" s="370"/>
      <c r="E132" s="28"/>
      <c r="F132" s="184" t="s">
        <v>363</v>
      </c>
    </row>
    <row r="133" spans="1:6" ht="54.6" customHeight="1" thickBot="1" x14ac:dyDescent="0.25">
      <c r="A133" s="44" t="s">
        <v>14</v>
      </c>
      <c r="B133" s="24" t="s">
        <v>138</v>
      </c>
      <c r="C133" s="369" t="s">
        <v>139</v>
      </c>
      <c r="D133" s="370"/>
      <c r="E133" s="28"/>
      <c r="F133" s="193">
        <v>2</v>
      </c>
    </row>
    <row r="134" spans="1:6" ht="64.5" customHeight="1" thickBot="1" x14ac:dyDescent="0.25">
      <c r="A134" s="44" t="s">
        <v>91</v>
      </c>
      <c r="B134" s="24" t="s">
        <v>144</v>
      </c>
      <c r="C134" s="369" t="s">
        <v>100</v>
      </c>
      <c r="D134" s="370"/>
      <c r="E134" s="28"/>
      <c r="F134" s="193" t="s">
        <v>364</v>
      </c>
    </row>
    <row r="135" spans="1:6" ht="68.45" customHeight="1" thickBot="1" x14ac:dyDescent="0.25">
      <c r="A135" s="44" t="s">
        <v>92</v>
      </c>
      <c r="B135" s="24" t="s">
        <v>145</v>
      </c>
      <c r="C135" s="357"/>
      <c r="D135" s="358"/>
      <c r="E135" s="29"/>
      <c r="F135" s="193"/>
    </row>
  </sheetData>
  <sheetProtection algorithmName="SHA-512" hashValue="5TFrCCYVOcK2+yv517CUQM9ay/8CC+qIC1fCR2m6OwESN3uvICB6DwfFbUkOYponbKfxtdLmPzFmOeRV2QLz7w==" saltValue="z4oo4DKO3RR3UlpgbEEBzg==" spinCount="100000" sheet="1" objects="1" scenarios="1"/>
  <dataConsolidate/>
  <mergeCells count="155">
    <mergeCell ref="C71:D71"/>
    <mergeCell ref="C72:D72"/>
    <mergeCell ref="C73:D73"/>
    <mergeCell ref="C74:D74"/>
    <mergeCell ref="C75:D75"/>
    <mergeCell ref="C76:D76"/>
    <mergeCell ref="A84:D84"/>
    <mergeCell ref="A85:D85"/>
    <mergeCell ref="C77:D77"/>
    <mergeCell ref="C78:D78"/>
    <mergeCell ref="C79:D79"/>
    <mergeCell ref="C80:D80"/>
    <mergeCell ref="A82:D82"/>
    <mergeCell ref="A98:D98"/>
    <mergeCell ref="A99:D99"/>
    <mergeCell ref="A100:D100"/>
    <mergeCell ref="A101:D101"/>
    <mergeCell ref="C109:D109"/>
    <mergeCell ref="B110:B113"/>
    <mergeCell ref="C110:D110"/>
    <mergeCell ref="A86:D86"/>
    <mergeCell ref="A87:D87"/>
    <mergeCell ref="A88:D88"/>
    <mergeCell ref="A89:D89"/>
    <mergeCell ref="A90:D90"/>
    <mergeCell ref="A91:D91"/>
    <mergeCell ref="C115:D115"/>
    <mergeCell ref="C116:D116"/>
    <mergeCell ref="A110:A113"/>
    <mergeCell ref="A124:A125"/>
    <mergeCell ref="B124:B125"/>
    <mergeCell ref="C124:D124"/>
    <mergeCell ref="C125:D125"/>
    <mergeCell ref="C63:D63"/>
    <mergeCell ref="A83:D83"/>
    <mergeCell ref="C68:D68"/>
    <mergeCell ref="C70:D70"/>
    <mergeCell ref="A102:D102"/>
    <mergeCell ref="C111:D111"/>
    <mergeCell ref="C112:D112"/>
    <mergeCell ref="C113:D113"/>
    <mergeCell ref="C105:D105"/>
    <mergeCell ref="C106:D106"/>
    <mergeCell ref="C107:D107"/>
    <mergeCell ref="A104:D104"/>
    <mergeCell ref="A92:D92"/>
    <mergeCell ref="A93:D93"/>
    <mergeCell ref="A94:D94"/>
    <mergeCell ref="A96:D96"/>
    <mergeCell ref="A97:D97"/>
    <mergeCell ref="C128:D128"/>
    <mergeCell ref="A95:D95"/>
    <mergeCell ref="C135:D135"/>
    <mergeCell ref="C126:D126"/>
    <mergeCell ref="C127:D127"/>
    <mergeCell ref="C129:D129"/>
    <mergeCell ref="A130:A131"/>
    <mergeCell ref="B130:B131"/>
    <mergeCell ref="C130:D130"/>
    <mergeCell ref="C131:D131"/>
    <mergeCell ref="C122:D122"/>
    <mergeCell ref="C117:D117"/>
    <mergeCell ref="C118:D118"/>
    <mergeCell ref="C119:D119"/>
    <mergeCell ref="C132:D132"/>
    <mergeCell ref="C133:D133"/>
    <mergeCell ref="C134:D134"/>
    <mergeCell ref="C120:D120"/>
    <mergeCell ref="C121:D121"/>
    <mergeCell ref="C108:D108"/>
    <mergeCell ref="C123:D123"/>
    <mergeCell ref="A114:A121"/>
    <mergeCell ref="B114:B121"/>
    <mergeCell ref="C114:D114"/>
    <mergeCell ref="C40:D40"/>
    <mergeCell ref="A45:A52"/>
    <mergeCell ref="B45:B52"/>
    <mergeCell ref="C45:D45"/>
    <mergeCell ref="C46:D46"/>
    <mergeCell ref="C47:D47"/>
    <mergeCell ref="C48:D48"/>
    <mergeCell ref="C49:D49"/>
    <mergeCell ref="C50:D50"/>
    <mergeCell ref="C51:D51"/>
    <mergeCell ref="A41:A43"/>
    <mergeCell ref="B41:B43"/>
    <mergeCell ref="C41:D41"/>
    <mergeCell ref="C42:D42"/>
    <mergeCell ref="C43:D43"/>
    <mergeCell ref="C44:D44"/>
    <mergeCell ref="A69:A70"/>
    <mergeCell ref="C52:D52"/>
    <mergeCell ref="A53:A55"/>
    <mergeCell ref="B53:B55"/>
    <mergeCell ref="C53:D53"/>
    <mergeCell ref="C54:D54"/>
    <mergeCell ref="C55:D55"/>
    <mergeCell ref="C56:D56"/>
    <mergeCell ref="A58:A59"/>
    <mergeCell ref="B58:B59"/>
    <mergeCell ref="A60:A62"/>
    <mergeCell ref="B60:B62"/>
    <mergeCell ref="C60:D60"/>
    <mergeCell ref="C61:D61"/>
    <mergeCell ref="C62:D62"/>
    <mergeCell ref="B69:B70"/>
    <mergeCell ref="C57:D57"/>
    <mergeCell ref="C58:D58"/>
    <mergeCell ref="C59:D59"/>
    <mergeCell ref="C64:D64"/>
    <mergeCell ref="C65:D65"/>
    <mergeCell ref="C66:D66"/>
    <mergeCell ref="C67:D67"/>
    <mergeCell ref="C69:D69"/>
    <mergeCell ref="A38:A39"/>
    <mergeCell ref="B38:B39"/>
    <mergeCell ref="C38:D38"/>
    <mergeCell ref="C39:D39"/>
    <mergeCell ref="A30:A34"/>
    <mergeCell ref="B30:B34"/>
    <mergeCell ref="C30:D30"/>
    <mergeCell ref="C31:D31"/>
    <mergeCell ref="C32:D32"/>
    <mergeCell ref="C33:D33"/>
    <mergeCell ref="B22:D22"/>
    <mergeCell ref="A24:D24"/>
    <mergeCell ref="C25:D25"/>
    <mergeCell ref="A36:A37"/>
    <mergeCell ref="B36:B37"/>
    <mergeCell ref="C36:D36"/>
    <mergeCell ref="C37:D37"/>
    <mergeCell ref="C34:D34"/>
    <mergeCell ref="C35:D35"/>
    <mergeCell ref="C26:D26"/>
    <mergeCell ref="A27:A28"/>
    <mergeCell ref="B27:B28"/>
    <mergeCell ref="C27:D27"/>
    <mergeCell ref="C28:D28"/>
    <mergeCell ref="C29:D29"/>
    <mergeCell ref="B21:D21"/>
    <mergeCell ref="B12:D12"/>
    <mergeCell ref="B13:D13"/>
    <mergeCell ref="B14:D14"/>
    <mergeCell ref="B15:D15"/>
    <mergeCell ref="B16:D16"/>
    <mergeCell ref="A3:D3"/>
    <mergeCell ref="A4:D4"/>
    <mergeCell ref="A5:F5"/>
    <mergeCell ref="A6:D6"/>
    <mergeCell ref="A19:D19"/>
    <mergeCell ref="B17:D17"/>
    <mergeCell ref="B8:D8"/>
    <mergeCell ref="B9:D9"/>
    <mergeCell ref="B10:D10"/>
    <mergeCell ref="B11:D11"/>
  </mergeCells>
  <conditionalFormatting sqref="C56 C65">
    <cfRule type="expression" dxfId="125" priority="135">
      <formula>#REF!="NO"</formula>
    </cfRule>
  </conditionalFormatting>
  <conditionalFormatting sqref="C41:D43">
    <cfRule type="expression" dxfId="124" priority="122">
      <formula>$F$2="NO"</formula>
    </cfRule>
  </conditionalFormatting>
  <conditionalFormatting sqref="C26:E40">
    <cfRule type="expression" dxfId="123" priority="124">
      <formula>#REF!="NO"</formula>
    </cfRule>
  </conditionalFormatting>
  <conditionalFormatting sqref="C44:E80">
    <cfRule type="expression" dxfId="122" priority="121">
      <formula>#REF!="NO"</formula>
    </cfRule>
  </conditionalFormatting>
  <conditionalFormatting sqref="C106:F135">
    <cfRule type="expression" dxfId="121" priority="97">
      <formula>#REF!="NO"</formula>
    </cfRule>
  </conditionalFormatting>
  <conditionalFormatting sqref="E41:E43">
    <cfRule type="expression" dxfId="120" priority="123">
      <formula>#REF!="NO"</formula>
    </cfRule>
  </conditionalFormatting>
  <conditionalFormatting sqref="E84:F102">
    <cfRule type="expression" dxfId="119" priority="99">
      <formula>#REF!="NO"</formula>
    </cfRule>
  </conditionalFormatting>
  <conditionalFormatting sqref="F8:F17">
    <cfRule type="expression" dxfId="118" priority="116">
      <formula>#REF!="NO"</formula>
    </cfRule>
  </conditionalFormatting>
  <conditionalFormatting sqref="F21:F22">
    <cfRule type="expression" dxfId="117" priority="117">
      <formula>#REF!="NO"</formula>
    </cfRule>
  </conditionalFormatting>
  <conditionalFormatting sqref="F26:F80">
    <cfRule type="expression" dxfId="116" priority="100">
      <formula>#REF!="NO"</formula>
    </cfRule>
  </conditionalFormatting>
  <dataValidations count="3">
    <dataValidation type="decimal" allowBlank="1" showInputMessage="1" showErrorMessage="1" error="The Additional Options NYS Discount entered must be greater than 0%, or less than or equal to 100%." sqref="F22" xr:uid="{00000000-0002-0000-0100-000002000000}">
      <formula1>0.01</formula1>
      <formula2>100</formula2>
    </dataValidation>
    <dataValidation type="decimal" allowBlank="1" showInputMessage="1" showErrorMessage="1" error="Invalid Entry - Bidder must enter a value that is greater than $0" sqref="F21" xr:uid="{00000000-0002-0000-0100-000001000000}">
      <formula1>0</formula1>
      <formula2>9E+21</formula2>
    </dataValidation>
    <dataValidation type="decimal" operator="greaterThanOrEqual" allowBlank="1" showInputMessage="1" showErrorMessage="1" error="The Pickup Allowance cannot be a negative number." sqref="F16" xr:uid="{00000000-0002-0000-0100-000000000000}">
      <formula1>0</formula1>
    </dataValidation>
  </dataValidations>
  <pageMargins left="0.25" right="0.25" top="0.5" bottom="0.25" header="0.3" footer="0.3"/>
  <pageSetup scale="84" fitToHeight="0" orientation="landscape" r:id="rId1"/>
  <rowBreaks count="2" manualBreakCount="2">
    <brk id="57" max="6" man="1"/>
    <brk id="75"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1BBFF-0B86-4198-B187-2386FC41C559}">
  <sheetPr codeName="Sheet7">
    <tabColor theme="5"/>
    <pageSetUpPr autoPageBreaks="0" fitToPage="1"/>
  </sheetPr>
  <dimension ref="A1:F135"/>
  <sheetViews>
    <sheetView showGridLines="0" zoomScaleNormal="100" zoomScaleSheetLayoutView="85" workbookViewId="0">
      <selection activeCell="A3" sqref="A3:D3"/>
    </sheetView>
  </sheetViews>
  <sheetFormatPr defaultColWidth="9.140625" defaultRowHeight="12.75" x14ac:dyDescent="0.2"/>
  <cols>
    <col min="1" max="1" width="20.42578125" style="2" customWidth="1"/>
    <col min="2" max="2" width="62.85546875" style="2" customWidth="1"/>
    <col min="3" max="3" width="14.7109375" style="2" customWidth="1"/>
    <col min="4" max="4" width="20.7109375" style="2" customWidth="1"/>
    <col min="5" max="5" width="2.7109375" style="2" customWidth="1"/>
    <col min="6" max="6" width="21.28515625" style="5" customWidth="1"/>
    <col min="7" max="16384" width="9.140625" style="2"/>
  </cols>
  <sheetData>
    <row r="1" spans="1:6" ht="18" customHeight="1" x14ac:dyDescent="0.2">
      <c r="A1" s="245" t="str">
        <f>'A (Item 2-G)'!$A$1</f>
        <v>GROUP 40524-23254, SCHOOL BUSES (Statewide)                                                             Attachment 1 - Specifications and Pricing (Revised October 15, 2026)</v>
      </c>
      <c r="F1" s="2"/>
    </row>
    <row r="2" spans="1:6" s="19" customFormat="1" ht="18" customHeight="1" thickBot="1" x14ac:dyDescent="0.3">
      <c r="A2" s="305" t="str">
        <f>'Attachment 1 - Summary'!B2</f>
        <v>PC69862 Matthews Buses, Inc.</v>
      </c>
      <c r="B2" s="20"/>
      <c r="C2" s="20"/>
      <c r="D2" s="20"/>
      <c r="E2" s="20"/>
      <c r="F2" s="20"/>
    </row>
    <row r="3" spans="1:6" ht="24" thickBot="1" x14ac:dyDescent="0.25">
      <c r="A3" s="473" t="s">
        <v>263</v>
      </c>
      <c r="B3" s="474"/>
      <c r="C3" s="474"/>
      <c r="D3" s="475"/>
      <c r="E3" s="8"/>
      <c r="F3" s="8"/>
    </row>
    <row r="4" spans="1:6" ht="51" customHeight="1" thickBot="1" x14ac:dyDescent="0.25">
      <c r="A4" s="329" t="s">
        <v>262</v>
      </c>
      <c r="B4" s="330"/>
      <c r="C4" s="330"/>
      <c r="D4" s="331"/>
      <c r="E4" s="8"/>
      <c r="F4" s="8"/>
    </row>
    <row r="5" spans="1:6" s="4" customFormat="1" ht="11.25" customHeight="1" thickBot="1" x14ac:dyDescent="0.3">
      <c r="A5" s="332"/>
      <c r="B5" s="333"/>
      <c r="C5" s="333"/>
      <c r="D5" s="334"/>
      <c r="E5" s="334"/>
      <c r="F5" s="334"/>
    </row>
    <row r="6" spans="1:6" s="7" customFormat="1" ht="32.25" thickBot="1" x14ac:dyDescent="0.25">
      <c r="A6" s="335" t="s">
        <v>151</v>
      </c>
      <c r="B6" s="336"/>
      <c r="C6" s="336"/>
      <c r="D6" s="337"/>
      <c r="E6" s="30"/>
      <c r="F6" s="208" t="s">
        <v>392</v>
      </c>
    </row>
    <row r="7" spans="1:6" s="4" customFormat="1" ht="15" customHeight="1" thickBot="1" x14ac:dyDescent="0.3">
      <c r="A7" s="35" t="s">
        <v>6</v>
      </c>
      <c r="B7" s="21" t="s">
        <v>165</v>
      </c>
      <c r="C7" s="26"/>
      <c r="D7" s="34"/>
      <c r="E7" s="31"/>
      <c r="F7" s="246" t="s">
        <v>19</v>
      </c>
    </row>
    <row r="8" spans="1:6" ht="65.25" thickTop="1" thickBot="1" x14ac:dyDescent="0.25">
      <c r="A8" s="36" t="s">
        <v>9</v>
      </c>
      <c r="B8" s="323" t="s">
        <v>152</v>
      </c>
      <c r="C8" s="324"/>
      <c r="D8" s="325"/>
      <c r="E8" s="12"/>
      <c r="F8" s="178" t="s">
        <v>393</v>
      </c>
    </row>
    <row r="9" spans="1:6" s="7" customFormat="1" ht="44.25" customHeight="1" thickTop="1" thickBot="1" x14ac:dyDescent="0.25">
      <c r="A9" s="36" t="s">
        <v>136</v>
      </c>
      <c r="B9" s="323" t="s">
        <v>191</v>
      </c>
      <c r="C9" s="324"/>
      <c r="D9" s="325"/>
      <c r="E9" s="12"/>
      <c r="F9" s="178" t="s">
        <v>425</v>
      </c>
    </row>
    <row r="10" spans="1:6" ht="12.75" customHeight="1" thickTop="1" x14ac:dyDescent="0.2">
      <c r="A10" s="37" t="s">
        <v>0</v>
      </c>
      <c r="B10" s="314" t="s">
        <v>154</v>
      </c>
      <c r="C10" s="315"/>
      <c r="D10" s="316"/>
      <c r="E10" s="12"/>
      <c r="F10" s="180" t="s">
        <v>395</v>
      </c>
    </row>
    <row r="11" spans="1:6" x14ac:dyDescent="0.2">
      <c r="A11" s="37" t="s">
        <v>1</v>
      </c>
      <c r="B11" s="314" t="s">
        <v>153</v>
      </c>
      <c r="C11" s="315"/>
      <c r="D11" s="316"/>
      <c r="E11" s="12"/>
      <c r="F11" s="180" t="s">
        <v>396</v>
      </c>
    </row>
    <row r="12" spans="1:6" ht="15" customHeight="1" thickBot="1" x14ac:dyDescent="0.25">
      <c r="A12" s="38" t="s">
        <v>2</v>
      </c>
      <c r="B12" s="317" t="s">
        <v>155</v>
      </c>
      <c r="C12" s="318"/>
      <c r="D12" s="319"/>
      <c r="E12" s="12"/>
      <c r="F12" s="181" t="s">
        <v>397</v>
      </c>
    </row>
    <row r="13" spans="1:6" ht="13.5" thickTop="1" x14ac:dyDescent="0.2">
      <c r="A13" s="37" t="s">
        <v>3</v>
      </c>
      <c r="B13" s="314" t="s">
        <v>157</v>
      </c>
      <c r="C13" s="315"/>
      <c r="D13" s="316"/>
      <c r="E13" s="12"/>
      <c r="F13" s="180" t="s">
        <v>337</v>
      </c>
    </row>
    <row r="14" spans="1:6" x14ac:dyDescent="0.2">
      <c r="A14" s="37" t="s">
        <v>4</v>
      </c>
      <c r="B14" s="314" t="s">
        <v>156</v>
      </c>
      <c r="C14" s="315"/>
      <c r="D14" s="316"/>
      <c r="E14" s="12"/>
      <c r="F14" s="180" t="s">
        <v>398</v>
      </c>
    </row>
    <row r="15" spans="1:6" ht="15.75" customHeight="1" thickBot="1" x14ac:dyDescent="0.25">
      <c r="A15" s="39" t="s">
        <v>5</v>
      </c>
      <c r="B15" s="317" t="s">
        <v>158</v>
      </c>
      <c r="C15" s="318"/>
      <c r="D15" s="319"/>
      <c r="E15" s="12"/>
      <c r="F15" s="182" t="s">
        <v>426</v>
      </c>
    </row>
    <row r="16" spans="1:6" ht="29.25" customHeight="1" thickTop="1" x14ac:dyDescent="0.2">
      <c r="A16" s="37" t="s">
        <v>101</v>
      </c>
      <c r="B16" s="320" t="s">
        <v>160</v>
      </c>
      <c r="C16" s="321"/>
      <c r="D16" s="322"/>
      <c r="E16" s="12"/>
      <c r="F16" s="183">
        <v>100</v>
      </c>
    </row>
    <row r="17" spans="1:6" ht="30.75" customHeight="1" thickBot="1" x14ac:dyDescent="0.25">
      <c r="A17" s="39" t="s">
        <v>43</v>
      </c>
      <c r="B17" s="317" t="s">
        <v>159</v>
      </c>
      <c r="C17" s="318"/>
      <c r="D17" s="319"/>
      <c r="E17" s="12"/>
      <c r="F17" s="182" t="s">
        <v>369</v>
      </c>
    </row>
    <row r="18" spans="1:6" s="9" customFormat="1" ht="14.25" thickTop="1" thickBot="1" x14ac:dyDescent="0.25">
      <c r="C18" s="10"/>
      <c r="D18" s="10"/>
      <c r="E18" s="10"/>
      <c r="F18" s="185"/>
    </row>
    <row r="19" spans="1:6" s="11" customFormat="1" ht="32.25" thickBot="1" x14ac:dyDescent="0.25">
      <c r="A19" s="335" t="s">
        <v>150</v>
      </c>
      <c r="B19" s="336"/>
      <c r="C19" s="336"/>
      <c r="D19" s="337"/>
      <c r="E19" s="30"/>
      <c r="F19" s="208" t="s">
        <v>392</v>
      </c>
    </row>
    <row r="20" spans="1:6" s="4" customFormat="1" ht="15" customHeight="1" thickBot="1" x14ac:dyDescent="0.3">
      <c r="A20" s="49" t="s">
        <v>6</v>
      </c>
      <c r="B20" s="25" t="s">
        <v>165</v>
      </c>
      <c r="C20" s="27"/>
      <c r="D20" s="42"/>
      <c r="E20" s="31"/>
      <c r="F20" s="246" t="s">
        <v>19</v>
      </c>
    </row>
    <row r="21" spans="1:6" ht="56.25" customHeight="1" x14ac:dyDescent="0.2">
      <c r="A21" s="40" t="s">
        <v>42</v>
      </c>
      <c r="B21" s="338" t="s">
        <v>161</v>
      </c>
      <c r="C21" s="339"/>
      <c r="D21" s="340"/>
      <c r="E21" s="12"/>
      <c r="F21" s="247">
        <f>132514.03*('PPI Adj'!D6)</f>
        <v>154643.87301000001</v>
      </c>
    </row>
    <row r="22" spans="1:6" ht="26.1" customHeight="1" thickBot="1" x14ac:dyDescent="0.25">
      <c r="A22" s="41" t="s">
        <v>41</v>
      </c>
      <c r="B22" s="359" t="s">
        <v>163</v>
      </c>
      <c r="C22" s="360"/>
      <c r="D22" s="361"/>
      <c r="E22" s="1"/>
      <c r="F22" s="188">
        <v>20</v>
      </c>
    </row>
    <row r="23" spans="1:6" ht="13.5" thickBot="1" x14ac:dyDescent="0.25">
      <c r="A23" s="52"/>
      <c r="B23" s="1"/>
      <c r="C23" s="1"/>
      <c r="D23" s="1"/>
      <c r="E23" s="1"/>
      <c r="F23" s="249"/>
    </row>
    <row r="24" spans="1:6" s="7" customFormat="1" ht="32.25" thickBot="1" x14ac:dyDescent="0.25">
      <c r="A24" s="362" t="s">
        <v>164</v>
      </c>
      <c r="B24" s="363"/>
      <c r="C24" s="363"/>
      <c r="D24" s="364"/>
      <c r="E24" s="32"/>
      <c r="F24" s="208" t="s">
        <v>392</v>
      </c>
    </row>
    <row r="25" spans="1:6" s="3" customFormat="1" ht="15" customHeight="1" thickBot="1" x14ac:dyDescent="0.3">
      <c r="A25" s="49" t="s">
        <v>6</v>
      </c>
      <c r="B25" s="50" t="s">
        <v>7</v>
      </c>
      <c r="C25" s="365" t="s">
        <v>165</v>
      </c>
      <c r="D25" s="366"/>
      <c r="E25" s="33"/>
      <c r="F25" s="246" t="s">
        <v>19</v>
      </c>
    </row>
    <row r="26" spans="1:6" s="12" customFormat="1" ht="81.599999999999994" customHeight="1" thickBot="1" x14ac:dyDescent="0.3">
      <c r="A26" s="43" t="s">
        <v>8</v>
      </c>
      <c r="B26" s="23" t="s">
        <v>257</v>
      </c>
      <c r="C26" s="341" t="s">
        <v>118</v>
      </c>
      <c r="D26" s="342"/>
      <c r="E26" s="28"/>
      <c r="F26" s="184">
        <v>26500</v>
      </c>
    </row>
    <row r="27" spans="1:6" s="12" customFormat="1" x14ac:dyDescent="0.25">
      <c r="A27" s="343" t="s">
        <v>21</v>
      </c>
      <c r="B27" s="345" t="s">
        <v>261</v>
      </c>
      <c r="C27" s="347" t="s">
        <v>67</v>
      </c>
      <c r="D27" s="348"/>
      <c r="E27" s="28"/>
      <c r="F27" s="192">
        <v>8</v>
      </c>
    </row>
    <row r="28" spans="1:6" s="12" customFormat="1" ht="13.5" thickBot="1" x14ac:dyDescent="0.3">
      <c r="A28" s="344"/>
      <c r="B28" s="346"/>
      <c r="C28" s="341" t="s">
        <v>68</v>
      </c>
      <c r="D28" s="342"/>
      <c r="E28" s="28"/>
      <c r="F28" s="184">
        <v>48</v>
      </c>
    </row>
    <row r="29" spans="1:6" s="12" customFormat="1" ht="13.5" thickBot="1" x14ac:dyDescent="0.3">
      <c r="A29" s="44" t="s">
        <v>123</v>
      </c>
      <c r="B29" s="24" t="s">
        <v>108</v>
      </c>
      <c r="C29" s="357"/>
      <c r="D29" s="358"/>
      <c r="E29" s="29"/>
      <c r="F29" s="193"/>
    </row>
    <row r="30" spans="1:6" s="12" customFormat="1" x14ac:dyDescent="0.25">
      <c r="A30" s="343" t="s">
        <v>59</v>
      </c>
      <c r="B30" s="345"/>
      <c r="C30" s="347" t="s">
        <v>58</v>
      </c>
      <c r="D30" s="348"/>
      <c r="E30" s="28"/>
      <c r="F30" s="192">
        <v>199</v>
      </c>
    </row>
    <row r="31" spans="1:6" s="12" customFormat="1" x14ac:dyDescent="0.25">
      <c r="A31" s="351"/>
      <c r="B31" s="352"/>
      <c r="C31" s="353" t="s">
        <v>57</v>
      </c>
      <c r="D31" s="354"/>
      <c r="E31" s="28"/>
      <c r="F31" s="180">
        <v>359.7</v>
      </c>
    </row>
    <row r="32" spans="1:6" s="12" customFormat="1" x14ac:dyDescent="0.25">
      <c r="A32" s="351"/>
      <c r="B32" s="352"/>
      <c r="C32" s="353" t="s">
        <v>69</v>
      </c>
      <c r="D32" s="354"/>
      <c r="E32" s="28"/>
      <c r="F32" s="180">
        <v>90</v>
      </c>
    </row>
    <row r="33" spans="1:6" s="12" customFormat="1" x14ac:dyDescent="0.25">
      <c r="A33" s="351"/>
      <c r="B33" s="352"/>
      <c r="C33" s="355" t="s">
        <v>70</v>
      </c>
      <c r="D33" s="356"/>
      <c r="E33" s="28"/>
      <c r="F33" s="180">
        <v>78</v>
      </c>
    </row>
    <row r="34" spans="1:6" s="12" customFormat="1" ht="13.5" thickBot="1" x14ac:dyDescent="0.3">
      <c r="A34" s="344"/>
      <c r="B34" s="346"/>
      <c r="C34" s="341" t="s">
        <v>111</v>
      </c>
      <c r="D34" s="342"/>
      <c r="E34" s="28"/>
      <c r="F34" s="184">
        <v>315</v>
      </c>
    </row>
    <row r="35" spans="1:6" s="12" customFormat="1" ht="17.45" customHeight="1" thickBot="1" x14ac:dyDescent="0.3">
      <c r="A35" s="44" t="s">
        <v>224</v>
      </c>
      <c r="B35" s="24" t="s">
        <v>223</v>
      </c>
      <c r="C35" s="357"/>
      <c r="D35" s="358"/>
      <c r="E35" s="29"/>
      <c r="F35" s="193"/>
    </row>
    <row r="36" spans="1:6" s="12" customFormat="1" x14ac:dyDescent="0.25">
      <c r="A36" s="343" t="s">
        <v>11</v>
      </c>
      <c r="B36" s="345"/>
      <c r="C36" s="347" t="s">
        <v>24</v>
      </c>
      <c r="D36" s="348"/>
      <c r="E36" s="28"/>
      <c r="F36" s="192">
        <v>9000</v>
      </c>
    </row>
    <row r="37" spans="1:6" s="12" customFormat="1" ht="13.5" thickBot="1" x14ac:dyDescent="0.3">
      <c r="A37" s="344"/>
      <c r="B37" s="346"/>
      <c r="C37" s="341" t="s">
        <v>22</v>
      </c>
      <c r="D37" s="342"/>
      <c r="E37" s="28"/>
      <c r="F37" s="184">
        <v>10000</v>
      </c>
    </row>
    <row r="38" spans="1:6" s="12" customFormat="1" x14ac:dyDescent="0.25">
      <c r="A38" s="343" t="s">
        <v>16</v>
      </c>
      <c r="B38" s="345"/>
      <c r="C38" s="347" t="s">
        <v>24</v>
      </c>
      <c r="D38" s="348"/>
      <c r="E38" s="28"/>
      <c r="F38" s="192">
        <v>17500</v>
      </c>
    </row>
    <row r="39" spans="1:6" s="12" customFormat="1" ht="13.5" thickBot="1" x14ac:dyDescent="0.3">
      <c r="A39" s="344"/>
      <c r="B39" s="346"/>
      <c r="C39" s="349" t="s">
        <v>23</v>
      </c>
      <c r="D39" s="350"/>
      <c r="E39" s="28"/>
      <c r="F39" s="184">
        <v>17500</v>
      </c>
    </row>
    <row r="40" spans="1:6" s="12" customFormat="1" ht="13.5" thickBot="1" x14ac:dyDescent="0.3">
      <c r="A40" s="44" t="s">
        <v>52</v>
      </c>
      <c r="B40" s="24" t="s">
        <v>53</v>
      </c>
      <c r="C40" s="357"/>
      <c r="D40" s="358"/>
      <c r="E40" s="29"/>
      <c r="F40" s="193"/>
    </row>
    <row r="41" spans="1:6" s="12" customFormat="1" x14ac:dyDescent="0.25">
      <c r="A41" s="343" t="s">
        <v>219</v>
      </c>
      <c r="B41" s="345" t="s">
        <v>222</v>
      </c>
      <c r="C41" s="347" t="s">
        <v>221</v>
      </c>
      <c r="D41" s="348"/>
      <c r="E41" s="28"/>
      <c r="F41" s="192" t="s">
        <v>427</v>
      </c>
    </row>
    <row r="42" spans="1:6" s="12" customFormat="1" ht="14.45" customHeight="1" x14ac:dyDescent="0.25">
      <c r="A42" s="351"/>
      <c r="B42" s="352"/>
      <c r="C42" s="353" t="s">
        <v>220</v>
      </c>
      <c r="D42" s="354"/>
      <c r="E42" s="28"/>
      <c r="F42" s="180" t="s">
        <v>428</v>
      </c>
    </row>
    <row r="43" spans="1:6" s="12" customFormat="1" ht="94.5" customHeight="1" thickBot="1" x14ac:dyDescent="0.3">
      <c r="A43" s="344"/>
      <c r="B43" s="352"/>
      <c r="C43" s="349"/>
      <c r="D43" s="350"/>
      <c r="E43" s="28"/>
      <c r="F43" s="179"/>
    </row>
    <row r="44" spans="1:6" s="12" customFormat="1" ht="29.45" customHeight="1" thickBot="1" x14ac:dyDescent="0.3">
      <c r="A44" s="44" t="s">
        <v>219</v>
      </c>
      <c r="B44" s="24" t="s">
        <v>218</v>
      </c>
      <c r="C44" s="357"/>
      <c r="D44" s="358"/>
      <c r="E44" s="29"/>
      <c r="F44" s="193"/>
    </row>
    <row r="45" spans="1:6" s="12" customFormat="1" ht="13.5" thickBot="1" x14ac:dyDescent="0.3">
      <c r="A45" s="367" t="s">
        <v>12</v>
      </c>
      <c r="B45" s="368" t="s">
        <v>142</v>
      </c>
      <c r="C45" s="347" t="s">
        <v>174</v>
      </c>
      <c r="D45" s="348"/>
      <c r="E45" s="28"/>
      <c r="F45" s="192" t="s">
        <v>401</v>
      </c>
    </row>
    <row r="46" spans="1:6" s="12" customFormat="1" ht="13.5" thickBot="1" x14ac:dyDescent="0.3">
      <c r="A46" s="367"/>
      <c r="B46" s="368"/>
      <c r="C46" s="353" t="s">
        <v>175</v>
      </c>
      <c r="D46" s="354"/>
      <c r="E46" s="28"/>
      <c r="F46" s="180">
        <v>5675</v>
      </c>
    </row>
    <row r="47" spans="1:6" s="12" customFormat="1" ht="13.5" thickBot="1" x14ac:dyDescent="0.3">
      <c r="A47" s="367"/>
      <c r="B47" s="368"/>
      <c r="C47" s="353" t="s">
        <v>176</v>
      </c>
      <c r="D47" s="354"/>
      <c r="E47" s="28"/>
      <c r="F47" s="209" t="s">
        <v>401</v>
      </c>
    </row>
    <row r="48" spans="1:6" s="12" customFormat="1" ht="13.5" thickBot="1" x14ac:dyDescent="0.3">
      <c r="A48" s="367"/>
      <c r="B48" s="368"/>
      <c r="C48" s="353" t="s">
        <v>177</v>
      </c>
      <c r="D48" s="354"/>
      <c r="E48" s="28"/>
      <c r="F48" s="180">
        <v>5355</v>
      </c>
    </row>
    <row r="49" spans="1:6" s="12" customFormat="1" ht="13.5" thickBot="1" x14ac:dyDescent="0.3">
      <c r="A49" s="367"/>
      <c r="B49" s="368"/>
      <c r="C49" s="353" t="s">
        <v>112</v>
      </c>
      <c r="D49" s="354"/>
      <c r="E49" s="28"/>
      <c r="F49" s="180" t="s">
        <v>402</v>
      </c>
    </row>
    <row r="50" spans="1:6" s="12" customFormat="1" ht="13.5" thickBot="1" x14ac:dyDescent="0.3">
      <c r="A50" s="367"/>
      <c r="B50" s="368"/>
      <c r="C50" s="353" t="s">
        <v>113</v>
      </c>
      <c r="D50" s="354"/>
      <c r="E50" s="28"/>
      <c r="F50" s="180" t="s">
        <v>403</v>
      </c>
    </row>
    <row r="51" spans="1:6" s="12" customFormat="1" ht="13.5" thickBot="1" x14ac:dyDescent="0.3">
      <c r="A51" s="367"/>
      <c r="B51" s="368"/>
      <c r="C51" s="355" t="s">
        <v>114</v>
      </c>
      <c r="D51" s="356"/>
      <c r="E51" s="28"/>
      <c r="F51" s="180" t="s">
        <v>404</v>
      </c>
    </row>
    <row r="52" spans="1:6" s="12" customFormat="1" ht="15.6" customHeight="1" thickBot="1" x14ac:dyDescent="0.3">
      <c r="A52" s="367"/>
      <c r="B52" s="368"/>
      <c r="C52" s="341" t="s">
        <v>115</v>
      </c>
      <c r="D52" s="342"/>
      <c r="E52" s="28"/>
      <c r="F52" s="184" t="s">
        <v>403</v>
      </c>
    </row>
    <row r="53" spans="1:6" s="12" customFormat="1" x14ac:dyDescent="0.25">
      <c r="A53" s="343" t="s">
        <v>10</v>
      </c>
      <c r="B53" s="345" t="s">
        <v>217</v>
      </c>
      <c r="C53" s="347" t="s">
        <v>116</v>
      </c>
      <c r="D53" s="348"/>
      <c r="E53" s="28"/>
      <c r="F53" s="192">
        <v>6</v>
      </c>
    </row>
    <row r="54" spans="1:6" s="12" customFormat="1" x14ac:dyDescent="0.25">
      <c r="A54" s="351"/>
      <c r="B54" s="352"/>
      <c r="C54" s="353" t="s">
        <v>117</v>
      </c>
      <c r="D54" s="354"/>
      <c r="E54" s="28"/>
      <c r="F54" s="180" t="s">
        <v>344</v>
      </c>
    </row>
    <row r="55" spans="1:6" s="12" customFormat="1" ht="13.5" thickBot="1" x14ac:dyDescent="0.3">
      <c r="A55" s="351"/>
      <c r="B55" s="352"/>
      <c r="C55" s="349" t="s">
        <v>71</v>
      </c>
      <c r="D55" s="350"/>
      <c r="E55" s="28"/>
      <c r="F55" s="179" t="s">
        <v>405</v>
      </c>
    </row>
    <row r="56" spans="1:6" s="12" customFormat="1" ht="81.599999999999994" customHeight="1" thickBot="1" x14ac:dyDescent="0.3">
      <c r="A56" s="45" t="s">
        <v>9</v>
      </c>
      <c r="B56" s="22" t="s">
        <v>254</v>
      </c>
      <c r="C56" s="355"/>
      <c r="D56" s="356"/>
      <c r="E56" s="28"/>
      <c r="F56" s="192"/>
    </row>
    <row r="57" spans="1:6" s="12" customFormat="1" ht="28.5" customHeight="1" thickBot="1" x14ac:dyDescent="0.3">
      <c r="A57" s="45" t="s">
        <v>253</v>
      </c>
      <c r="B57" s="22" t="s">
        <v>252</v>
      </c>
      <c r="C57" s="357"/>
      <c r="D57" s="358"/>
      <c r="E57" s="29"/>
      <c r="F57" s="196"/>
    </row>
    <row r="58" spans="1:6" s="12" customFormat="1" ht="25.5" x14ac:dyDescent="0.25">
      <c r="A58" s="343" t="s">
        <v>25</v>
      </c>
      <c r="B58" s="345" t="s">
        <v>93</v>
      </c>
      <c r="C58" s="347" t="s">
        <v>72</v>
      </c>
      <c r="D58" s="348"/>
      <c r="E58" s="28"/>
      <c r="F58" s="192" t="s">
        <v>406</v>
      </c>
    </row>
    <row r="59" spans="1:6" s="12" customFormat="1" ht="70.5" customHeight="1" thickBot="1" x14ac:dyDescent="0.3">
      <c r="A59" s="344"/>
      <c r="B59" s="346"/>
      <c r="C59" s="341" t="s">
        <v>73</v>
      </c>
      <c r="D59" s="342"/>
      <c r="E59" s="28"/>
      <c r="F59" s="184">
        <v>185</v>
      </c>
    </row>
    <row r="60" spans="1:6" s="12" customFormat="1" x14ac:dyDescent="0.25">
      <c r="A60" s="343" t="s">
        <v>26</v>
      </c>
      <c r="B60" s="345" t="s">
        <v>251</v>
      </c>
      <c r="C60" s="347" t="s">
        <v>74</v>
      </c>
      <c r="D60" s="348"/>
      <c r="E60" s="28"/>
      <c r="F60" s="192" t="s">
        <v>407</v>
      </c>
    </row>
    <row r="61" spans="1:6" s="12" customFormat="1" x14ac:dyDescent="0.25">
      <c r="A61" s="351"/>
      <c r="B61" s="352"/>
      <c r="C61" s="353" t="s">
        <v>75</v>
      </c>
      <c r="D61" s="354"/>
      <c r="E61" s="28"/>
      <c r="F61" s="180">
        <v>3</v>
      </c>
    </row>
    <row r="62" spans="1:6" s="12" customFormat="1" ht="32.25" customHeight="1" thickBot="1" x14ac:dyDescent="0.3">
      <c r="A62" s="344"/>
      <c r="B62" s="346"/>
      <c r="C62" s="341" t="s">
        <v>250</v>
      </c>
      <c r="D62" s="342"/>
      <c r="E62" s="28"/>
      <c r="F62" s="184" t="s">
        <v>408</v>
      </c>
    </row>
    <row r="63" spans="1:6" s="12" customFormat="1" ht="20.100000000000001" customHeight="1" thickBot="1" x14ac:dyDescent="0.3">
      <c r="A63" s="44" t="s">
        <v>44</v>
      </c>
      <c r="B63" s="24" t="s">
        <v>45</v>
      </c>
      <c r="C63" s="357"/>
      <c r="D63" s="358"/>
      <c r="E63" s="29"/>
      <c r="F63" s="196"/>
    </row>
    <row r="64" spans="1:6" s="12" customFormat="1" ht="28.5" customHeight="1" thickBot="1" x14ac:dyDescent="0.3">
      <c r="A64" s="44" t="s">
        <v>44</v>
      </c>
      <c r="B64" s="24" t="s">
        <v>63</v>
      </c>
      <c r="C64" s="357"/>
      <c r="D64" s="358"/>
      <c r="E64" s="29"/>
      <c r="F64" s="196"/>
    </row>
    <row r="65" spans="1:6" s="12" customFormat="1" ht="31.5" customHeight="1" thickBot="1" x14ac:dyDescent="0.3">
      <c r="A65" s="44" t="s">
        <v>44</v>
      </c>
      <c r="B65" s="24" t="s">
        <v>64</v>
      </c>
      <c r="C65" s="357"/>
      <c r="D65" s="358"/>
      <c r="E65" s="29"/>
      <c r="F65" s="196"/>
    </row>
    <row r="66" spans="1:6" s="12" customFormat="1" ht="30.95" customHeight="1" thickBot="1" x14ac:dyDescent="0.3">
      <c r="A66" s="44" t="s">
        <v>50</v>
      </c>
      <c r="B66" s="24" t="s">
        <v>216</v>
      </c>
      <c r="C66" s="357"/>
      <c r="D66" s="358"/>
      <c r="E66" s="29"/>
      <c r="F66" s="196"/>
    </row>
    <row r="67" spans="1:6" s="12" customFormat="1" ht="17.45" customHeight="1" thickBot="1" x14ac:dyDescent="0.3">
      <c r="A67" s="44" t="s">
        <v>27</v>
      </c>
      <c r="B67" s="24" t="s">
        <v>215</v>
      </c>
      <c r="C67" s="369" t="s">
        <v>77</v>
      </c>
      <c r="D67" s="370"/>
      <c r="E67" s="28"/>
      <c r="F67" s="193" t="s">
        <v>429</v>
      </c>
    </row>
    <row r="68" spans="1:6" s="12" customFormat="1" ht="54.6" customHeight="1" thickBot="1" x14ac:dyDescent="0.3">
      <c r="A68" s="44" t="s">
        <v>214</v>
      </c>
      <c r="B68" s="24" t="s">
        <v>213</v>
      </c>
      <c r="C68" s="369"/>
      <c r="D68" s="370"/>
      <c r="E68" s="28"/>
      <c r="F68" s="193"/>
    </row>
    <row r="69" spans="1:6" s="12" customFormat="1" ht="15" customHeight="1" x14ac:dyDescent="0.25">
      <c r="A69" s="343" t="s">
        <v>28</v>
      </c>
      <c r="B69" s="345" t="s">
        <v>249</v>
      </c>
      <c r="C69" s="472" t="s">
        <v>248</v>
      </c>
      <c r="D69" s="348"/>
      <c r="E69" s="28"/>
      <c r="F69" s="192" t="s">
        <v>430</v>
      </c>
    </row>
    <row r="70" spans="1:6" s="12" customFormat="1" ht="13.5" thickBot="1" x14ac:dyDescent="0.3">
      <c r="A70" s="344"/>
      <c r="B70" s="346"/>
      <c r="C70" s="413" t="s">
        <v>247</v>
      </c>
      <c r="D70" s="342"/>
      <c r="E70" s="28"/>
      <c r="F70" s="184" t="s">
        <v>431</v>
      </c>
    </row>
    <row r="71" spans="1:6" s="12" customFormat="1" ht="42.6" customHeight="1" thickBot="1" x14ac:dyDescent="0.3">
      <c r="A71" s="44" t="s">
        <v>51</v>
      </c>
      <c r="B71" s="24" t="s">
        <v>212</v>
      </c>
      <c r="C71" s="357"/>
      <c r="D71" s="358"/>
      <c r="E71" s="29"/>
      <c r="F71" s="193"/>
    </row>
    <row r="72" spans="1:6" s="12" customFormat="1" ht="41.1" customHeight="1" thickBot="1" x14ac:dyDescent="0.3">
      <c r="A72" s="44" t="s">
        <v>54</v>
      </c>
      <c r="B72" s="24" t="s">
        <v>80</v>
      </c>
      <c r="C72" s="357"/>
      <c r="D72" s="358"/>
      <c r="E72" s="29"/>
      <c r="F72" s="193"/>
    </row>
    <row r="73" spans="1:6" s="12" customFormat="1" ht="82.5" customHeight="1" thickBot="1" x14ac:dyDescent="0.3">
      <c r="A73" s="44" t="s">
        <v>29</v>
      </c>
      <c r="B73" s="24" t="s">
        <v>211</v>
      </c>
      <c r="C73" s="357"/>
      <c r="D73" s="358"/>
      <c r="E73" s="29"/>
      <c r="F73" s="193"/>
    </row>
    <row r="74" spans="1:6" s="12" customFormat="1" ht="68.45" customHeight="1" thickBot="1" x14ac:dyDescent="0.3">
      <c r="A74" s="44" t="s">
        <v>31</v>
      </c>
      <c r="B74" s="24" t="s">
        <v>210</v>
      </c>
      <c r="C74" s="369" t="s">
        <v>30</v>
      </c>
      <c r="D74" s="370"/>
      <c r="E74" s="28"/>
      <c r="F74" s="193" t="s">
        <v>411</v>
      </c>
    </row>
    <row r="75" spans="1:6" s="12" customFormat="1" ht="29.45" customHeight="1" thickBot="1" x14ac:dyDescent="0.3">
      <c r="A75" s="44" t="s">
        <v>55</v>
      </c>
      <c r="B75" s="24" t="s">
        <v>95</v>
      </c>
      <c r="C75" s="357"/>
      <c r="D75" s="358"/>
      <c r="E75" s="29"/>
      <c r="F75" s="193"/>
    </row>
    <row r="76" spans="1:6" s="12" customFormat="1" ht="30" customHeight="1" thickBot="1" x14ac:dyDescent="0.3">
      <c r="A76" s="44" t="s">
        <v>32</v>
      </c>
      <c r="B76" s="24" t="s">
        <v>96</v>
      </c>
      <c r="C76" s="369" t="s">
        <v>30</v>
      </c>
      <c r="D76" s="370"/>
      <c r="E76" s="28"/>
      <c r="F76" s="193" t="s">
        <v>412</v>
      </c>
    </row>
    <row r="77" spans="1:6" s="12" customFormat="1" ht="42" customHeight="1" thickBot="1" x14ac:dyDescent="0.3">
      <c r="A77" s="44" t="s">
        <v>56</v>
      </c>
      <c r="B77" s="24" t="s">
        <v>167</v>
      </c>
      <c r="C77" s="357"/>
      <c r="D77" s="358"/>
      <c r="E77" s="29"/>
      <c r="F77" s="193"/>
    </row>
    <row r="78" spans="1:6" s="12" customFormat="1" ht="29.45" customHeight="1" thickBot="1" x14ac:dyDescent="0.3">
      <c r="A78" s="44" t="s">
        <v>48</v>
      </c>
      <c r="B78" s="24" t="s">
        <v>47</v>
      </c>
      <c r="C78" s="357"/>
      <c r="D78" s="358"/>
      <c r="E78" s="29"/>
      <c r="F78" s="193"/>
    </row>
    <row r="79" spans="1:6" s="12" customFormat="1" ht="30.6" customHeight="1" thickBot="1" x14ac:dyDescent="0.3">
      <c r="A79" s="44" t="s">
        <v>49</v>
      </c>
      <c r="B79" s="24" t="s">
        <v>103</v>
      </c>
      <c r="C79" s="357"/>
      <c r="D79" s="358"/>
      <c r="E79" s="29"/>
      <c r="F79" s="193"/>
    </row>
    <row r="80" spans="1:6" s="12" customFormat="1" ht="28.5" customHeight="1" thickBot="1" x14ac:dyDescent="0.3">
      <c r="A80" s="44" t="s">
        <v>46</v>
      </c>
      <c r="B80" s="24" t="s">
        <v>81</v>
      </c>
      <c r="C80" s="357"/>
      <c r="D80" s="358"/>
      <c r="E80" s="29"/>
      <c r="F80" s="193"/>
    </row>
    <row r="81" spans="1:6" ht="13.5" thickBot="1" x14ac:dyDescent="0.25">
      <c r="F81" s="250"/>
    </row>
    <row r="82" spans="1:6" s="15" customFormat="1" ht="32.25" customHeight="1" thickBot="1" x14ac:dyDescent="0.3">
      <c r="A82" s="362" t="s">
        <v>168</v>
      </c>
      <c r="B82" s="363"/>
      <c r="C82" s="363"/>
      <c r="D82" s="364"/>
      <c r="E82" s="32"/>
      <c r="F82" s="208" t="s">
        <v>392</v>
      </c>
    </row>
    <row r="83" spans="1:6" s="3" customFormat="1" ht="15" customHeight="1" thickBot="1" x14ac:dyDescent="0.3">
      <c r="A83" s="371" t="s">
        <v>169</v>
      </c>
      <c r="B83" s="372"/>
      <c r="C83" s="372"/>
      <c r="D83" s="373"/>
      <c r="E83" s="33"/>
      <c r="F83" s="246" t="s">
        <v>19</v>
      </c>
    </row>
    <row r="84" spans="1:6" s="12" customFormat="1" ht="12.75" customHeight="1" x14ac:dyDescent="0.25">
      <c r="A84" s="374" t="s">
        <v>83</v>
      </c>
      <c r="B84" s="375"/>
      <c r="C84" s="375"/>
      <c r="D84" s="376"/>
      <c r="E84" s="29"/>
      <c r="F84" s="251">
        <f>-1010*('PPI Adj'!D6)</f>
        <v>-1178.67</v>
      </c>
    </row>
    <row r="85" spans="1:6" s="12" customFormat="1" ht="12.75" customHeight="1" x14ac:dyDescent="0.25">
      <c r="A85" s="377" t="s">
        <v>34</v>
      </c>
      <c r="B85" s="378"/>
      <c r="C85" s="378"/>
      <c r="D85" s="379"/>
      <c r="E85" s="28"/>
      <c r="F85" s="252">
        <f>947*('PPI Adj'!D6)</f>
        <v>1105.1490000000001</v>
      </c>
    </row>
    <row r="86" spans="1:6" s="12" customFormat="1" x14ac:dyDescent="0.25">
      <c r="A86" s="377" t="s">
        <v>35</v>
      </c>
      <c r="B86" s="378"/>
      <c r="C86" s="378"/>
      <c r="D86" s="379"/>
      <c r="E86" s="29"/>
      <c r="F86" s="252">
        <f>452*('PPI Adj'!D6)</f>
        <v>527.48400000000004</v>
      </c>
    </row>
    <row r="87" spans="1:6" s="12" customFormat="1" x14ac:dyDescent="0.25">
      <c r="A87" s="377" t="s">
        <v>36</v>
      </c>
      <c r="B87" s="378"/>
      <c r="C87" s="378"/>
      <c r="D87" s="379"/>
      <c r="E87" s="28"/>
      <c r="F87" s="252">
        <f>477.6*('PPI Adj'!D6)</f>
        <v>557.3592000000001</v>
      </c>
    </row>
    <row r="88" spans="1:6" s="12" customFormat="1" x14ac:dyDescent="0.25">
      <c r="A88" s="377" t="s">
        <v>60</v>
      </c>
      <c r="B88" s="378"/>
      <c r="C88" s="378"/>
      <c r="D88" s="379"/>
      <c r="E88" s="28"/>
      <c r="F88" s="252">
        <f>86*('PPI Adj'!D6)</f>
        <v>100.36200000000001</v>
      </c>
    </row>
    <row r="89" spans="1:6" s="12" customFormat="1" x14ac:dyDescent="0.25">
      <c r="A89" s="377" t="s">
        <v>61</v>
      </c>
      <c r="B89" s="378"/>
      <c r="C89" s="378"/>
      <c r="D89" s="379"/>
      <c r="E89" s="28"/>
      <c r="F89" s="252">
        <f>1419*('PPI Adj'!D6)</f>
        <v>1655.973</v>
      </c>
    </row>
    <row r="90" spans="1:6" s="12" customFormat="1" ht="12.75" customHeight="1" x14ac:dyDescent="0.25">
      <c r="A90" s="377" t="s">
        <v>86</v>
      </c>
      <c r="B90" s="378"/>
      <c r="C90" s="378"/>
      <c r="D90" s="379"/>
      <c r="E90" s="28"/>
      <c r="F90" s="252">
        <f>856*('PPI Adj'!D6)</f>
        <v>998.952</v>
      </c>
    </row>
    <row r="91" spans="1:6" ht="12.75" customHeight="1" x14ac:dyDescent="0.2">
      <c r="A91" s="377" t="s">
        <v>85</v>
      </c>
      <c r="B91" s="378"/>
      <c r="C91" s="378"/>
      <c r="D91" s="379"/>
      <c r="E91" s="28"/>
      <c r="F91" s="252">
        <f>6974*('PPI Adj'!D6)</f>
        <v>8138.6580000000004</v>
      </c>
    </row>
    <row r="92" spans="1:6" x14ac:dyDescent="0.2">
      <c r="A92" s="377" t="s">
        <v>13</v>
      </c>
      <c r="B92" s="378"/>
      <c r="C92" s="378"/>
      <c r="D92" s="379"/>
      <c r="E92" s="28"/>
      <c r="F92" s="252">
        <f>10801*('PPI Adj'!D6)</f>
        <v>12604.767</v>
      </c>
    </row>
    <row r="93" spans="1:6" ht="12.75" customHeight="1" x14ac:dyDescent="0.2">
      <c r="A93" s="377" t="s">
        <v>37</v>
      </c>
      <c r="B93" s="378"/>
      <c r="C93" s="378"/>
      <c r="D93" s="379"/>
      <c r="E93" s="29"/>
      <c r="F93" s="252">
        <f>595*('PPI Adj'!D6)</f>
        <v>694.36500000000001</v>
      </c>
    </row>
    <row r="94" spans="1:6" x14ac:dyDescent="0.2">
      <c r="A94" s="377" t="s">
        <v>38</v>
      </c>
      <c r="B94" s="378"/>
      <c r="C94" s="378"/>
      <c r="D94" s="379"/>
      <c r="E94" s="29"/>
      <c r="F94" s="252">
        <f>583*('PPI Adj'!D6)</f>
        <v>680.36099999999999</v>
      </c>
    </row>
    <row r="95" spans="1:6" x14ac:dyDescent="0.2">
      <c r="A95" s="377" t="s">
        <v>201</v>
      </c>
      <c r="B95" s="378"/>
      <c r="C95" s="378"/>
      <c r="D95" s="379"/>
      <c r="E95" s="29"/>
      <c r="F95" s="252" t="s">
        <v>183</v>
      </c>
    </row>
    <row r="96" spans="1:6" x14ac:dyDescent="0.2">
      <c r="A96" s="377" t="s">
        <v>39</v>
      </c>
      <c r="B96" s="378"/>
      <c r="C96" s="378"/>
      <c r="D96" s="379"/>
      <c r="E96" s="28"/>
      <c r="F96" s="252">
        <f>472*('PPI Adj'!D6)</f>
        <v>550.82400000000007</v>
      </c>
    </row>
    <row r="97" spans="1:6" ht="12.75" customHeight="1" x14ac:dyDescent="0.2">
      <c r="A97" s="377" t="s">
        <v>88</v>
      </c>
      <c r="B97" s="378"/>
      <c r="C97" s="378"/>
      <c r="D97" s="379"/>
      <c r="E97" s="28"/>
      <c r="F97" s="252">
        <f>4245*('PPI Adj'!D6)</f>
        <v>4953.915</v>
      </c>
    </row>
    <row r="98" spans="1:6" x14ac:dyDescent="0.2">
      <c r="A98" s="377" t="s">
        <v>40</v>
      </c>
      <c r="B98" s="378"/>
      <c r="C98" s="378"/>
      <c r="D98" s="379"/>
      <c r="E98" s="28"/>
      <c r="F98" s="252">
        <f>329*('PPI Adj'!D6)</f>
        <v>383.94300000000004</v>
      </c>
    </row>
    <row r="99" spans="1:6" x14ac:dyDescent="0.2">
      <c r="A99" s="377" t="s">
        <v>14</v>
      </c>
      <c r="B99" s="378"/>
      <c r="C99" s="378"/>
      <c r="D99" s="379"/>
      <c r="E99" s="28"/>
      <c r="F99" s="252">
        <f>8567*('PPI Adj'!D6)</f>
        <v>9997.6890000000003</v>
      </c>
    </row>
    <row r="100" spans="1:6" ht="12.75" customHeight="1" x14ac:dyDescent="0.2">
      <c r="A100" s="377" t="s">
        <v>91</v>
      </c>
      <c r="B100" s="378"/>
      <c r="C100" s="378"/>
      <c r="D100" s="379"/>
      <c r="E100" s="28"/>
      <c r="F100" s="252">
        <f>1971*('PPI Adj'!D6)</f>
        <v>2300.1570000000002</v>
      </c>
    </row>
    <row r="101" spans="1:6" ht="12.75" customHeight="1" x14ac:dyDescent="0.2">
      <c r="A101" s="383" t="s">
        <v>272</v>
      </c>
      <c r="B101" s="384"/>
      <c r="C101" s="384"/>
      <c r="D101" s="385"/>
      <c r="E101" s="28"/>
      <c r="F101" s="253">
        <f>-1775*('PPI Adj'!D6)</f>
        <v>-2071.4250000000002</v>
      </c>
    </row>
    <row r="102" spans="1:6" ht="13.5" thickBot="1" x14ac:dyDescent="0.25">
      <c r="A102" s="380" t="s">
        <v>92</v>
      </c>
      <c r="B102" s="381"/>
      <c r="C102" s="381"/>
      <c r="D102" s="382"/>
      <c r="E102" s="29"/>
      <c r="F102" s="254">
        <f>2023*('PPI Adj'!D6)</f>
        <v>2360.8409999999999</v>
      </c>
    </row>
    <row r="103" spans="1:6" ht="13.5" thickBot="1" x14ac:dyDescent="0.25">
      <c r="F103" s="250"/>
    </row>
    <row r="104" spans="1:6" s="15" customFormat="1" ht="32.25" thickBot="1" x14ac:dyDescent="0.3">
      <c r="A104" s="362" t="s">
        <v>166</v>
      </c>
      <c r="B104" s="363"/>
      <c r="C104" s="363"/>
      <c r="D104" s="364"/>
      <c r="E104" s="32"/>
      <c r="F104" s="208" t="s">
        <v>392</v>
      </c>
    </row>
    <row r="105" spans="1:6" s="3" customFormat="1" ht="15" customHeight="1" thickBot="1" x14ac:dyDescent="0.3">
      <c r="A105" s="46" t="s">
        <v>33</v>
      </c>
      <c r="B105" s="18" t="s">
        <v>7</v>
      </c>
      <c r="C105" s="386" t="s">
        <v>165</v>
      </c>
      <c r="D105" s="387"/>
      <c r="E105" s="33"/>
      <c r="F105" s="246" t="s">
        <v>19</v>
      </c>
    </row>
    <row r="106" spans="1:6" s="12" customFormat="1" ht="42.6" customHeight="1" thickBot="1" x14ac:dyDescent="0.3">
      <c r="A106" s="47" t="s">
        <v>83</v>
      </c>
      <c r="B106" s="17" t="s">
        <v>146</v>
      </c>
      <c r="C106" s="476"/>
      <c r="D106" s="477"/>
      <c r="E106" s="29"/>
      <c r="F106" s="193"/>
    </row>
    <row r="107" spans="1:6" s="12" customFormat="1" ht="26.25" thickBot="1" x14ac:dyDescent="0.3">
      <c r="A107" s="44" t="s">
        <v>34</v>
      </c>
      <c r="B107" s="24" t="s">
        <v>107</v>
      </c>
      <c r="C107" s="369" t="s">
        <v>30</v>
      </c>
      <c r="D107" s="370"/>
      <c r="E107" s="28"/>
      <c r="F107" s="193" t="s">
        <v>352</v>
      </c>
    </row>
    <row r="108" spans="1:6" s="12" customFormat="1" ht="54.6" customHeight="1" thickBot="1" x14ac:dyDescent="0.3">
      <c r="A108" s="44" t="s">
        <v>35</v>
      </c>
      <c r="B108" s="24" t="s">
        <v>97</v>
      </c>
      <c r="C108" s="357"/>
      <c r="D108" s="358"/>
      <c r="E108" s="29"/>
      <c r="F108" s="193"/>
    </row>
    <row r="109" spans="1:6" s="12" customFormat="1" ht="26.25" thickBot="1" x14ac:dyDescent="0.3">
      <c r="A109" s="44" t="s">
        <v>36</v>
      </c>
      <c r="B109" s="24" t="s">
        <v>84</v>
      </c>
      <c r="C109" s="369" t="s">
        <v>99</v>
      </c>
      <c r="D109" s="370"/>
      <c r="E109" s="28"/>
      <c r="F109" s="193" t="s">
        <v>413</v>
      </c>
    </row>
    <row r="110" spans="1:6" s="12" customFormat="1" ht="12.75" customHeight="1" x14ac:dyDescent="0.25">
      <c r="A110" s="343" t="s">
        <v>60</v>
      </c>
      <c r="B110" s="345" t="s">
        <v>133</v>
      </c>
      <c r="C110" s="347" t="s">
        <v>203</v>
      </c>
      <c r="D110" s="348"/>
      <c r="E110" s="28"/>
      <c r="F110" s="192" t="s">
        <v>401</v>
      </c>
    </row>
    <row r="111" spans="1:6" s="12" customFormat="1" ht="12.6" customHeight="1" x14ac:dyDescent="0.25">
      <c r="A111" s="351"/>
      <c r="B111" s="352"/>
      <c r="C111" s="353" t="s">
        <v>202</v>
      </c>
      <c r="D111" s="354"/>
      <c r="E111" s="28"/>
      <c r="F111" s="180">
        <v>5675</v>
      </c>
    </row>
    <row r="112" spans="1:6" s="12" customFormat="1" ht="12.6" customHeight="1" x14ac:dyDescent="0.25">
      <c r="A112" s="351"/>
      <c r="B112" s="352"/>
      <c r="C112" s="353" t="s">
        <v>114</v>
      </c>
      <c r="D112" s="354"/>
      <c r="E112" s="28"/>
      <c r="F112" s="180" t="s">
        <v>414</v>
      </c>
    </row>
    <row r="113" spans="1:6" s="12" customFormat="1" ht="30.75" customHeight="1" thickBot="1" x14ac:dyDescent="0.3">
      <c r="A113" s="344"/>
      <c r="B113" s="346"/>
      <c r="C113" s="349" t="s">
        <v>115</v>
      </c>
      <c r="D113" s="350"/>
      <c r="E113" s="28"/>
      <c r="F113" s="184" t="s">
        <v>415</v>
      </c>
    </row>
    <row r="114" spans="1:6" s="12" customFormat="1" ht="12.75" customHeight="1" x14ac:dyDescent="0.25">
      <c r="A114" s="343" t="s">
        <v>61</v>
      </c>
      <c r="B114" s="345" t="s">
        <v>206</v>
      </c>
      <c r="C114" s="347" t="s">
        <v>205</v>
      </c>
      <c r="D114" s="348"/>
      <c r="E114" s="28"/>
      <c r="F114" s="192" t="s">
        <v>416</v>
      </c>
    </row>
    <row r="115" spans="1:6" s="12" customFormat="1" ht="12.6" customHeight="1" x14ac:dyDescent="0.25">
      <c r="A115" s="351"/>
      <c r="B115" s="352"/>
      <c r="C115" s="353" t="s">
        <v>204</v>
      </c>
      <c r="D115" s="354"/>
      <c r="E115" s="28"/>
      <c r="F115" s="209">
        <v>6610</v>
      </c>
    </row>
    <row r="116" spans="1:6" s="12" customFormat="1" ht="12.6" customHeight="1" x14ac:dyDescent="0.25">
      <c r="A116" s="351"/>
      <c r="B116" s="352"/>
      <c r="C116" s="353" t="s">
        <v>203</v>
      </c>
      <c r="D116" s="354"/>
      <c r="E116" s="28"/>
      <c r="F116" s="209" t="s">
        <v>416</v>
      </c>
    </row>
    <row r="117" spans="1:6" s="12" customFormat="1" ht="12.6" customHeight="1" x14ac:dyDescent="0.25">
      <c r="A117" s="351"/>
      <c r="B117" s="352"/>
      <c r="C117" s="353" t="s">
        <v>202</v>
      </c>
      <c r="D117" s="354"/>
      <c r="E117" s="28"/>
      <c r="F117" s="180">
        <v>6005</v>
      </c>
    </row>
    <row r="118" spans="1:6" s="12" customFormat="1" ht="12.6" customHeight="1" x14ac:dyDescent="0.25">
      <c r="A118" s="351"/>
      <c r="B118" s="352"/>
      <c r="C118" s="353" t="s">
        <v>112</v>
      </c>
      <c r="D118" s="354"/>
      <c r="E118" s="28"/>
      <c r="F118" s="180" t="s">
        <v>417</v>
      </c>
    </row>
    <row r="119" spans="1:6" s="12" customFormat="1" ht="12.6" customHeight="1" x14ac:dyDescent="0.25">
      <c r="A119" s="351"/>
      <c r="B119" s="352"/>
      <c r="C119" s="353" t="s">
        <v>113</v>
      </c>
      <c r="D119" s="354"/>
      <c r="E119" s="28"/>
      <c r="F119" s="209" t="s">
        <v>418</v>
      </c>
    </row>
    <row r="120" spans="1:6" s="12" customFormat="1" ht="12.6" customHeight="1" x14ac:dyDescent="0.25">
      <c r="A120" s="351"/>
      <c r="B120" s="352"/>
      <c r="C120" s="353" t="s">
        <v>114</v>
      </c>
      <c r="D120" s="354"/>
      <c r="E120" s="28"/>
      <c r="F120" s="209" t="s">
        <v>419</v>
      </c>
    </row>
    <row r="121" spans="1:6" s="12" customFormat="1" ht="12.95" customHeight="1" thickBot="1" x14ac:dyDescent="0.3">
      <c r="A121" s="344"/>
      <c r="B121" s="346"/>
      <c r="C121" s="349" t="s">
        <v>115</v>
      </c>
      <c r="D121" s="350"/>
      <c r="E121" s="28"/>
      <c r="F121" s="184" t="s">
        <v>418</v>
      </c>
    </row>
    <row r="122" spans="1:6" s="12" customFormat="1" ht="146.44999999999999" customHeight="1" thickBot="1" x14ac:dyDescent="0.3">
      <c r="A122" s="48" t="s">
        <v>86</v>
      </c>
      <c r="B122" s="16" t="s">
        <v>143</v>
      </c>
      <c r="C122" s="369" t="s">
        <v>104</v>
      </c>
      <c r="D122" s="370"/>
      <c r="E122" s="28"/>
      <c r="F122" s="192" t="s">
        <v>420</v>
      </c>
    </row>
    <row r="123" spans="1:6" ht="168.95" customHeight="1" thickBot="1" x14ac:dyDescent="0.25">
      <c r="A123" s="44" t="s">
        <v>85</v>
      </c>
      <c r="B123" s="13" t="s">
        <v>170</v>
      </c>
      <c r="C123" s="369" t="s">
        <v>104</v>
      </c>
      <c r="D123" s="370"/>
      <c r="E123" s="28"/>
      <c r="F123" s="193" t="s">
        <v>421</v>
      </c>
    </row>
    <row r="124" spans="1:6" ht="24.95" customHeight="1" x14ac:dyDescent="0.2">
      <c r="A124" s="343" t="s">
        <v>13</v>
      </c>
      <c r="B124" s="345" t="s">
        <v>98</v>
      </c>
      <c r="C124" s="347" t="s">
        <v>30</v>
      </c>
      <c r="D124" s="348"/>
      <c r="E124" s="28"/>
      <c r="F124" s="192" t="s">
        <v>422</v>
      </c>
    </row>
    <row r="125" spans="1:6" ht="30.6" customHeight="1" thickBot="1" x14ac:dyDescent="0.25">
      <c r="A125" s="344"/>
      <c r="B125" s="346"/>
      <c r="C125" s="349" t="s">
        <v>109</v>
      </c>
      <c r="D125" s="350"/>
      <c r="E125" s="28"/>
      <c r="F125" s="184" t="s">
        <v>362</v>
      </c>
    </row>
    <row r="126" spans="1:6" ht="70.5" customHeight="1" thickBot="1" x14ac:dyDescent="0.25">
      <c r="A126" s="44" t="s">
        <v>37</v>
      </c>
      <c r="B126" s="24" t="s">
        <v>135</v>
      </c>
      <c r="C126" s="357"/>
      <c r="D126" s="358"/>
      <c r="E126" s="29"/>
      <c r="F126" s="193" t="s">
        <v>378</v>
      </c>
    </row>
    <row r="127" spans="1:6" ht="42.95" customHeight="1" thickBot="1" x14ac:dyDescent="0.25">
      <c r="A127" s="44" t="s">
        <v>38</v>
      </c>
      <c r="B127" s="24" t="s">
        <v>87</v>
      </c>
      <c r="C127" s="357"/>
      <c r="D127" s="358"/>
      <c r="E127" s="29"/>
      <c r="F127" s="193"/>
    </row>
    <row r="128" spans="1:6" ht="18.95" customHeight="1" thickBot="1" x14ac:dyDescent="0.25">
      <c r="A128" s="44" t="s">
        <v>201</v>
      </c>
      <c r="B128" s="24" t="s">
        <v>200</v>
      </c>
      <c r="C128" s="369"/>
      <c r="D128" s="370"/>
      <c r="E128" s="28"/>
      <c r="F128" s="193"/>
    </row>
    <row r="129" spans="1:6" ht="30" customHeight="1" thickBot="1" x14ac:dyDescent="0.25">
      <c r="A129" s="44" t="s">
        <v>39</v>
      </c>
      <c r="B129" s="24" t="s">
        <v>106</v>
      </c>
      <c r="C129" s="369" t="s">
        <v>105</v>
      </c>
      <c r="D129" s="370"/>
      <c r="E129" s="28"/>
      <c r="F129" s="193" t="s">
        <v>324</v>
      </c>
    </row>
    <row r="130" spans="1:6" ht="12.6" customHeight="1" x14ac:dyDescent="0.2">
      <c r="A130" s="343" t="s">
        <v>88</v>
      </c>
      <c r="B130" s="345" t="s">
        <v>148</v>
      </c>
      <c r="C130" s="347" t="s">
        <v>100</v>
      </c>
      <c r="D130" s="348"/>
      <c r="E130" s="28"/>
      <c r="F130" s="192" t="s">
        <v>423</v>
      </c>
    </row>
    <row r="131" spans="1:6" ht="108" customHeight="1" thickBot="1" x14ac:dyDescent="0.25">
      <c r="A131" s="344"/>
      <c r="B131" s="346"/>
      <c r="C131" s="349" t="s">
        <v>110</v>
      </c>
      <c r="D131" s="350"/>
      <c r="E131" s="28"/>
      <c r="F131" s="255" t="s">
        <v>424</v>
      </c>
    </row>
    <row r="132" spans="1:6" ht="26.25" thickBot="1" x14ac:dyDescent="0.25">
      <c r="A132" s="44" t="s">
        <v>40</v>
      </c>
      <c r="B132" s="24" t="s">
        <v>137</v>
      </c>
      <c r="C132" s="369" t="s">
        <v>100</v>
      </c>
      <c r="D132" s="370"/>
      <c r="E132" s="28"/>
      <c r="F132" s="184" t="s">
        <v>363</v>
      </c>
    </row>
    <row r="133" spans="1:6" ht="54.95" customHeight="1" thickBot="1" x14ac:dyDescent="0.25">
      <c r="A133" s="44" t="s">
        <v>14</v>
      </c>
      <c r="B133" s="24" t="s">
        <v>138</v>
      </c>
      <c r="C133" s="369" t="s">
        <v>139</v>
      </c>
      <c r="D133" s="370"/>
      <c r="E133" s="28"/>
      <c r="F133" s="193">
        <v>2</v>
      </c>
    </row>
    <row r="134" spans="1:6" ht="69.95" customHeight="1" thickBot="1" x14ac:dyDescent="0.25">
      <c r="A134" s="44" t="s">
        <v>91</v>
      </c>
      <c r="B134" s="24" t="s">
        <v>144</v>
      </c>
      <c r="C134" s="369" t="s">
        <v>100</v>
      </c>
      <c r="D134" s="370"/>
      <c r="E134" s="28"/>
      <c r="F134" s="193" t="s">
        <v>364</v>
      </c>
    </row>
    <row r="135" spans="1:6" ht="69.95" customHeight="1" thickBot="1" x14ac:dyDescent="0.25">
      <c r="A135" s="44" t="s">
        <v>92</v>
      </c>
      <c r="B135" s="24" t="s">
        <v>145</v>
      </c>
      <c r="C135" s="357"/>
      <c r="D135" s="358"/>
      <c r="E135" s="29"/>
      <c r="F135" s="193"/>
    </row>
  </sheetData>
  <sheetProtection algorithmName="SHA-512" hashValue="WsMlhMFP+H5dweGJPlHVSHvADN78l3RmPnyBBMQQFswtgzruTi412WdcMCMSOoaqLGLgZp2OUNaZBriqXtCqyw==" saltValue="1w/W1P0XTU8JzIBkguqfQw==" spinCount="100000" sheet="1" objects="1" scenarios="1"/>
  <dataConsolidate/>
  <mergeCells count="155">
    <mergeCell ref="A101:D101"/>
    <mergeCell ref="A110:A113"/>
    <mergeCell ref="B110:B113"/>
    <mergeCell ref="C110:D110"/>
    <mergeCell ref="C111:D111"/>
    <mergeCell ref="C112:D112"/>
    <mergeCell ref="C113:D113"/>
    <mergeCell ref="C132:D132"/>
    <mergeCell ref="C133:D133"/>
    <mergeCell ref="C134:D134"/>
    <mergeCell ref="C120:D120"/>
    <mergeCell ref="C121:D121"/>
    <mergeCell ref="C108:D108"/>
    <mergeCell ref="C109:D109"/>
    <mergeCell ref="A114:A121"/>
    <mergeCell ref="B114:B121"/>
    <mergeCell ref="C114:D114"/>
    <mergeCell ref="C115:D115"/>
    <mergeCell ref="C116:D116"/>
    <mergeCell ref="C117:D117"/>
    <mergeCell ref="C118:D118"/>
    <mergeCell ref="C119:D119"/>
    <mergeCell ref="A130:A131"/>
    <mergeCell ref="B130:B131"/>
    <mergeCell ref="C130:D130"/>
    <mergeCell ref="C131:D131"/>
    <mergeCell ref="C122:D122"/>
    <mergeCell ref="C123:D123"/>
    <mergeCell ref="A124:A125"/>
    <mergeCell ref="B124:B125"/>
    <mergeCell ref="C124:D124"/>
    <mergeCell ref="C125:D125"/>
    <mergeCell ref="A99:D99"/>
    <mergeCell ref="A100:D100"/>
    <mergeCell ref="A102:D102"/>
    <mergeCell ref="A104:D104"/>
    <mergeCell ref="C135:D135"/>
    <mergeCell ref="C35:D35"/>
    <mergeCell ref="C126:D126"/>
    <mergeCell ref="C127:D127"/>
    <mergeCell ref="C128:D128"/>
    <mergeCell ref="C129:D129"/>
    <mergeCell ref="A89:D89"/>
    <mergeCell ref="A90:D90"/>
    <mergeCell ref="A91:D91"/>
    <mergeCell ref="C105:D105"/>
    <mergeCell ref="C106:D106"/>
    <mergeCell ref="C107:D107"/>
    <mergeCell ref="A95:D95"/>
    <mergeCell ref="A96:D96"/>
    <mergeCell ref="A97:D97"/>
    <mergeCell ref="A98:D98"/>
    <mergeCell ref="C76:D76"/>
    <mergeCell ref="A92:D92"/>
    <mergeCell ref="A93:D93"/>
    <mergeCell ref="A94:D94"/>
    <mergeCell ref="A83:D83"/>
    <mergeCell ref="A84:D84"/>
    <mergeCell ref="A85:D85"/>
    <mergeCell ref="A86:D86"/>
    <mergeCell ref="A87:D87"/>
    <mergeCell ref="A88:D88"/>
    <mergeCell ref="C77:D77"/>
    <mergeCell ref="C78:D78"/>
    <mergeCell ref="C79:D79"/>
    <mergeCell ref="C80:D80"/>
    <mergeCell ref="A82:D82"/>
    <mergeCell ref="C71:D71"/>
    <mergeCell ref="C72:D72"/>
    <mergeCell ref="C73:D73"/>
    <mergeCell ref="C74:D74"/>
    <mergeCell ref="C75:D75"/>
    <mergeCell ref="C64:D64"/>
    <mergeCell ref="C65:D65"/>
    <mergeCell ref="C66:D66"/>
    <mergeCell ref="C67:D67"/>
    <mergeCell ref="C68:D68"/>
    <mergeCell ref="A69:A70"/>
    <mergeCell ref="B69:B70"/>
    <mergeCell ref="C69:D69"/>
    <mergeCell ref="C70:D70"/>
    <mergeCell ref="C56:D56"/>
    <mergeCell ref="C57:D57"/>
    <mergeCell ref="A58:A59"/>
    <mergeCell ref="B58:B59"/>
    <mergeCell ref="C58:D58"/>
    <mergeCell ref="C59:D59"/>
    <mergeCell ref="A60:A62"/>
    <mergeCell ref="B60:B62"/>
    <mergeCell ref="C60:D60"/>
    <mergeCell ref="C61:D61"/>
    <mergeCell ref="C62:D62"/>
    <mergeCell ref="C63:D63"/>
    <mergeCell ref="C44:D44"/>
    <mergeCell ref="A53:A55"/>
    <mergeCell ref="B53:B55"/>
    <mergeCell ref="C53:D53"/>
    <mergeCell ref="C54:D54"/>
    <mergeCell ref="C55:D55"/>
    <mergeCell ref="C48:D48"/>
    <mergeCell ref="C49:D49"/>
    <mergeCell ref="C50:D50"/>
    <mergeCell ref="C51:D51"/>
    <mergeCell ref="C52:D52"/>
    <mergeCell ref="A45:A52"/>
    <mergeCell ref="B45:B52"/>
    <mergeCell ref="C45:D45"/>
    <mergeCell ref="C46:D46"/>
    <mergeCell ref="C47:D47"/>
    <mergeCell ref="A19:D19"/>
    <mergeCell ref="C33:D33"/>
    <mergeCell ref="C34:D34"/>
    <mergeCell ref="A41:A43"/>
    <mergeCell ref="B41:B43"/>
    <mergeCell ref="C41:D41"/>
    <mergeCell ref="C42:D42"/>
    <mergeCell ref="C43:D43"/>
    <mergeCell ref="A38:A39"/>
    <mergeCell ref="B38:B39"/>
    <mergeCell ref="C38:D38"/>
    <mergeCell ref="C39:D39"/>
    <mergeCell ref="C40:D40"/>
    <mergeCell ref="B17:D17"/>
    <mergeCell ref="B9:D9"/>
    <mergeCell ref="B10:D10"/>
    <mergeCell ref="B11:D11"/>
    <mergeCell ref="B12:D12"/>
    <mergeCell ref="A36:A37"/>
    <mergeCell ref="B36:B37"/>
    <mergeCell ref="C36:D36"/>
    <mergeCell ref="C37:D37"/>
    <mergeCell ref="A27:A28"/>
    <mergeCell ref="B27:B28"/>
    <mergeCell ref="C27:D27"/>
    <mergeCell ref="B21:D21"/>
    <mergeCell ref="B22:D22"/>
    <mergeCell ref="A24:D24"/>
    <mergeCell ref="C25:D25"/>
    <mergeCell ref="C26:D26"/>
    <mergeCell ref="C28:D28"/>
    <mergeCell ref="C29:D29"/>
    <mergeCell ref="A30:A34"/>
    <mergeCell ref="B30:B34"/>
    <mergeCell ref="C30:D30"/>
    <mergeCell ref="C31:D31"/>
    <mergeCell ref="C32:D32"/>
    <mergeCell ref="A3:D3"/>
    <mergeCell ref="A4:D4"/>
    <mergeCell ref="A5:F5"/>
    <mergeCell ref="A6:D6"/>
    <mergeCell ref="B8:D8"/>
    <mergeCell ref="B13:D13"/>
    <mergeCell ref="B14:D14"/>
    <mergeCell ref="B15:D15"/>
    <mergeCell ref="B16:D16"/>
  </mergeCells>
  <conditionalFormatting sqref="C56 C65">
    <cfRule type="expression" dxfId="115" priority="198">
      <formula>#REF!="NO"</formula>
    </cfRule>
  </conditionalFormatting>
  <conditionalFormatting sqref="C41:D43">
    <cfRule type="expression" dxfId="114" priority="185">
      <formula>$F$2="NO"</formula>
    </cfRule>
  </conditionalFormatting>
  <conditionalFormatting sqref="C26:E40">
    <cfRule type="expression" dxfId="113" priority="187">
      <formula>#REF!="NO"</formula>
    </cfRule>
  </conditionalFormatting>
  <conditionalFormatting sqref="C44:E80">
    <cfRule type="expression" dxfId="112" priority="184">
      <formula>#REF!="NO"</formula>
    </cfRule>
  </conditionalFormatting>
  <conditionalFormatting sqref="C106:E127">
    <cfRule type="expression" dxfId="111" priority="193">
      <formula>#REF!="NO"</formula>
    </cfRule>
  </conditionalFormatting>
  <conditionalFormatting sqref="C129:E135">
    <cfRule type="expression" dxfId="110" priority="197">
      <formula>#REF!="NO"</formula>
    </cfRule>
  </conditionalFormatting>
  <conditionalFormatting sqref="C128:F128">
    <cfRule type="expression" dxfId="109" priority="188">
      <formula>#REF!="NO"</formula>
    </cfRule>
  </conditionalFormatting>
  <conditionalFormatting sqref="E41:E43">
    <cfRule type="expression" dxfId="108" priority="186">
      <formula>#REF!="NO"</formula>
    </cfRule>
  </conditionalFormatting>
  <conditionalFormatting sqref="E84:F102">
    <cfRule type="expression" dxfId="107" priority="1">
      <formula>#REF!="NO"</formula>
    </cfRule>
  </conditionalFormatting>
  <conditionalFormatting sqref="F8:F17">
    <cfRule type="expression" dxfId="106" priority="179">
      <formula>#REF!="NO"</formula>
    </cfRule>
  </conditionalFormatting>
  <conditionalFormatting sqref="F21:F22">
    <cfRule type="expression" dxfId="105" priority="180">
      <formula>#REF!="NO"</formula>
    </cfRule>
  </conditionalFormatting>
  <conditionalFormatting sqref="F26:F80">
    <cfRule type="expression" dxfId="104" priority="163">
      <formula>#REF!="NO"</formula>
    </cfRule>
  </conditionalFormatting>
  <conditionalFormatting sqref="F106:F135">
    <cfRule type="expression" dxfId="103" priority="159">
      <formula>#REF!="NO"</formula>
    </cfRule>
  </conditionalFormatting>
  <dataValidations count="3">
    <dataValidation type="decimal" operator="greaterThanOrEqual" allowBlank="1" showInputMessage="1" showErrorMessage="1" error="The Pickup Allowance cannot be a negative number." sqref="F16" xr:uid="{00000000-0002-0000-0200-000002000000}">
      <formula1>0</formula1>
    </dataValidation>
    <dataValidation type="decimal" allowBlank="1" showInputMessage="1" showErrorMessage="1" error="Invalid Entry - Bidder must enter a value that is greater than $0" sqref="F21" xr:uid="{00000000-0002-0000-0200-000001000000}">
      <formula1>0</formula1>
      <formula2>9E+21</formula2>
    </dataValidation>
    <dataValidation type="decimal" allowBlank="1" showInputMessage="1" showErrorMessage="1" error="The Additional Options NYS Discount entered must be greater than 0%, or less than or equal to 100%." sqref="F22" xr:uid="{00000000-0002-0000-0200-000000000000}">
      <formula1>0.01</formula1>
      <formula2>100</formula2>
    </dataValidation>
  </dataValidations>
  <pageMargins left="0.25" right="0.25" top="0.5" bottom="0.25" header="0.3" footer="0.3"/>
  <pageSetup scale="93" fitToHeight="0" orientation="landscape" r:id="rId1"/>
  <rowBreaks count="2" manualBreakCount="2">
    <brk id="57" max="6" man="1"/>
    <brk id="102"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9C8AA-DD5D-4071-AAD4-E6D787C71C2E}">
  <sheetPr>
    <tabColor theme="5"/>
    <pageSetUpPr autoPageBreaks="0" fitToPage="1"/>
  </sheetPr>
  <dimension ref="A1:H115"/>
  <sheetViews>
    <sheetView showGridLines="0" zoomScaleNormal="100" workbookViewId="0">
      <selection activeCell="A3" sqref="A3:D3"/>
    </sheetView>
  </sheetViews>
  <sheetFormatPr defaultColWidth="9.140625" defaultRowHeight="12.75" x14ac:dyDescent="0.2"/>
  <cols>
    <col min="1" max="1" width="19.140625" style="2" customWidth="1"/>
    <col min="2" max="2" width="75.28515625" style="2" customWidth="1"/>
    <col min="3" max="3" width="6.85546875" style="2" customWidth="1"/>
    <col min="4" max="4" width="29.42578125" style="2" customWidth="1"/>
    <col min="5" max="5" width="5.7109375" style="5" customWidth="1"/>
    <col min="6" max="9" width="20.7109375" style="2" customWidth="1"/>
    <col min="10" max="16384" width="9.140625" style="2"/>
  </cols>
  <sheetData>
    <row r="1" spans="1:8" ht="18" customHeight="1" x14ac:dyDescent="0.2">
      <c r="A1" s="245" t="str">
        <f>'A (Item 2-G)'!$A$1</f>
        <v>GROUP 40524-23254, SCHOOL BUSES (Statewide)                                                             Attachment 1 - Specifications and Pricing (Revised October 15, 2026)</v>
      </c>
      <c r="E1" s="2"/>
    </row>
    <row r="2" spans="1:8" s="19" customFormat="1" ht="18" customHeight="1" thickBot="1" x14ac:dyDescent="0.3">
      <c r="A2" s="305" t="str">
        <f>'A (Item 2-G)'!$A$2</f>
        <v>PC69862 Matthews Buses, Inc.</v>
      </c>
      <c r="B2" s="20"/>
      <c r="C2" s="20"/>
      <c r="D2" s="20"/>
      <c r="E2" s="20"/>
      <c r="F2" s="20"/>
      <c r="G2" s="20"/>
      <c r="H2" s="20"/>
    </row>
    <row r="3" spans="1:8" ht="23.25" x14ac:dyDescent="0.2">
      <c r="A3" s="520" t="s">
        <v>571</v>
      </c>
      <c r="B3" s="521"/>
      <c r="C3" s="521"/>
      <c r="D3" s="522"/>
      <c r="E3" s="8"/>
      <c r="F3" s="8"/>
      <c r="G3" s="8"/>
    </row>
    <row r="4" spans="1:8" ht="51" customHeight="1" thickBot="1" x14ac:dyDescent="0.25">
      <c r="A4" s="400" t="s">
        <v>572</v>
      </c>
      <c r="B4" s="401"/>
      <c r="C4" s="401"/>
      <c r="D4" s="402"/>
      <c r="E4" s="8"/>
      <c r="F4" s="8"/>
      <c r="G4" s="8"/>
    </row>
    <row r="5" spans="1:8" s="4" customFormat="1" ht="11.25" customHeight="1" thickBot="1" x14ac:dyDescent="0.3">
      <c r="A5" s="333"/>
      <c r="B5" s="333"/>
      <c r="C5" s="333"/>
      <c r="D5" s="334"/>
      <c r="E5" s="334"/>
      <c r="F5" s="75"/>
      <c r="G5" s="75"/>
    </row>
    <row r="6" spans="1:8" s="7" customFormat="1" ht="16.5" customHeight="1" thickBot="1" x14ac:dyDescent="0.25">
      <c r="A6" s="70" t="s">
        <v>151</v>
      </c>
      <c r="B6" s="71"/>
      <c r="C6" s="71"/>
      <c r="D6" s="72"/>
      <c r="E6" s="76"/>
      <c r="F6" s="172" t="s">
        <v>395</v>
      </c>
      <c r="G6" s="173"/>
    </row>
    <row r="7" spans="1:8" s="4" customFormat="1" ht="23.25" customHeight="1" thickBot="1" x14ac:dyDescent="0.3">
      <c r="A7" s="77" t="s">
        <v>6</v>
      </c>
      <c r="B7" s="21" t="s">
        <v>165</v>
      </c>
      <c r="C7" s="26"/>
      <c r="D7" s="34"/>
      <c r="E7" s="31"/>
      <c r="F7" s="174" t="s">
        <v>184</v>
      </c>
      <c r="G7" s="175"/>
    </row>
    <row r="8" spans="1:8" ht="73.5" customHeight="1" thickTop="1" thickBot="1" x14ac:dyDescent="0.25">
      <c r="A8" s="80" t="s">
        <v>185</v>
      </c>
      <c r="B8" s="143" t="s">
        <v>595</v>
      </c>
      <c r="C8" s="144"/>
      <c r="D8" s="145"/>
      <c r="E8" s="111"/>
      <c r="F8" s="176" t="s">
        <v>573</v>
      </c>
      <c r="G8" s="177"/>
    </row>
    <row r="9" spans="1:8" s="7" customFormat="1" ht="36" customHeight="1" thickTop="1" thickBot="1" x14ac:dyDescent="0.25">
      <c r="A9" s="80" t="s">
        <v>136</v>
      </c>
      <c r="B9" s="517" t="s">
        <v>596</v>
      </c>
      <c r="C9" s="518"/>
      <c r="D9" s="519"/>
      <c r="E9" s="111"/>
      <c r="F9" s="178" t="s">
        <v>574</v>
      </c>
      <c r="G9" s="173"/>
    </row>
    <row r="10" spans="1:8" ht="12.75" customHeight="1" thickTop="1" x14ac:dyDescent="0.2">
      <c r="A10" s="83" t="s">
        <v>512</v>
      </c>
      <c r="B10" s="146" t="s">
        <v>513</v>
      </c>
      <c r="C10" s="147"/>
      <c r="D10" s="148"/>
      <c r="E10" s="111"/>
      <c r="F10" s="179">
        <v>2024</v>
      </c>
      <c r="G10" s="177"/>
    </row>
    <row r="11" spans="1:8" ht="12.75" customHeight="1" x14ac:dyDescent="0.2">
      <c r="A11" s="84" t="s">
        <v>0</v>
      </c>
      <c r="B11" s="149" t="s">
        <v>514</v>
      </c>
      <c r="C11" s="136"/>
      <c r="D11" s="150"/>
      <c r="E11" s="111"/>
      <c r="F11" s="180" t="s">
        <v>395</v>
      </c>
      <c r="G11" s="177"/>
    </row>
    <row r="12" spans="1:8" x14ac:dyDescent="0.2">
      <c r="A12" s="84" t="s">
        <v>1</v>
      </c>
      <c r="B12" s="149" t="s">
        <v>515</v>
      </c>
      <c r="C12" s="136"/>
      <c r="D12" s="150"/>
      <c r="E12" s="111"/>
      <c r="F12" s="180" t="s">
        <v>396</v>
      </c>
      <c r="G12" s="177"/>
    </row>
    <row r="13" spans="1:8" ht="12.75" customHeight="1" thickBot="1" x14ac:dyDescent="0.25">
      <c r="A13" s="85" t="s">
        <v>2</v>
      </c>
      <c r="B13" s="511" t="s">
        <v>517</v>
      </c>
      <c r="C13" s="512"/>
      <c r="D13" s="513"/>
      <c r="E13" s="111"/>
      <c r="F13" s="181" t="s">
        <v>397</v>
      </c>
      <c r="G13" s="177"/>
    </row>
    <row r="14" spans="1:8" ht="12.75" customHeight="1" thickTop="1" x14ac:dyDescent="0.2">
      <c r="A14" s="83" t="s">
        <v>519</v>
      </c>
      <c r="B14" s="151" t="s">
        <v>520</v>
      </c>
      <c r="C14" s="109"/>
      <c r="D14" s="110"/>
      <c r="E14" s="111"/>
      <c r="F14" s="179">
        <v>2024</v>
      </c>
      <c r="G14" s="177"/>
    </row>
    <row r="15" spans="1:8" x14ac:dyDescent="0.2">
      <c r="A15" s="84" t="s">
        <v>3</v>
      </c>
      <c r="B15" s="149" t="s">
        <v>598</v>
      </c>
      <c r="C15" s="136"/>
      <c r="D15" s="150"/>
      <c r="E15" s="111"/>
      <c r="F15" s="180" t="s">
        <v>337</v>
      </c>
      <c r="G15" s="177"/>
    </row>
    <row r="16" spans="1:8" x14ac:dyDescent="0.2">
      <c r="A16" s="84" t="s">
        <v>4</v>
      </c>
      <c r="B16" s="149" t="s">
        <v>599</v>
      </c>
      <c r="C16" s="136"/>
      <c r="D16" s="150"/>
      <c r="E16" s="111"/>
      <c r="F16" s="180" t="s">
        <v>398</v>
      </c>
      <c r="G16" s="177"/>
    </row>
    <row r="17" spans="1:8" ht="12.75" customHeight="1" thickBot="1" x14ac:dyDescent="0.25">
      <c r="A17" s="90" t="s">
        <v>5</v>
      </c>
      <c r="B17" s="511" t="s">
        <v>523</v>
      </c>
      <c r="C17" s="512"/>
      <c r="D17" s="513"/>
      <c r="E17" s="111"/>
      <c r="F17" s="182" t="s">
        <v>426</v>
      </c>
      <c r="G17" s="177"/>
    </row>
    <row r="18" spans="1:8" ht="29.25" customHeight="1" thickTop="1" x14ac:dyDescent="0.2">
      <c r="A18" s="84" t="s">
        <v>101</v>
      </c>
      <c r="B18" s="514" t="s">
        <v>226</v>
      </c>
      <c r="C18" s="515"/>
      <c r="D18" s="516"/>
      <c r="E18" s="111"/>
      <c r="F18" s="183">
        <v>100</v>
      </c>
      <c r="G18" s="177"/>
    </row>
    <row r="19" spans="1:8" ht="30.75" customHeight="1" thickBot="1" x14ac:dyDescent="0.25">
      <c r="A19" s="90" t="s">
        <v>43</v>
      </c>
      <c r="B19" s="511" t="s">
        <v>569</v>
      </c>
      <c r="C19" s="512"/>
      <c r="D19" s="513"/>
      <c r="E19" s="111"/>
      <c r="F19" s="184" t="s">
        <v>369</v>
      </c>
      <c r="G19" s="177"/>
    </row>
    <row r="20" spans="1:8" s="9" customFormat="1" ht="14.25" thickTop="1" thickBot="1" x14ac:dyDescent="0.25">
      <c r="E20" s="10"/>
      <c r="F20" s="185"/>
      <c r="G20" s="185"/>
      <c r="H20" s="10"/>
    </row>
    <row r="21" spans="1:8" s="11" customFormat="1" ht="16.5" customHeight="1" thickBot="1" x14ac:dyDescent="0.25">
      <c r="A21" s="152" t="s">
        <v>597</v>
      </c>
      <c r="B21" s="153"/>
      <c r="C21" s="153"/>
      <c r="D21" s="154"/>
      <c r="E21" s="30"/>
      <c r="F21" s="172" t="s">
        <v>395</v>
      </c>
      <c r="G21" s="186"/>
    </row>
    <row r="22" spans="1:8" s="4" customFormat="1" ht="23.25" customHeight="1" thickBot="1" x14ac:dyDescent="0.3">
      <c r="A22" s="77" t="s">
        <v>6</v>
      </c>
      <c r="B22" s="21" t="s">
        <v>509</v>
      </c>
      <c r="C22" s="26"/>
      <c r="D22" s="34"/>
      <c r="E22" s="31"/>
      <c r="F22" s="174" t="s">
        <v>184</v>
      </c>
      <c r="G22" s="175"/>
    </row>
    <row r="23" spans="1:8" ht="57" customHeight="1" thickTop="1" thickBot="1" x14ac:dyDescent="0.25">
      <c r="A23" s="94" t="s">
        <v>42</v>
      </c>
      <c r="B23" s="508" t="s">
        <v>575</v>
      </c>
      <c r="C23" s="509"/>
      <c r="D23" s="510"/>
      <c r="E23" s="111"/>
      <c r="F23" s="187">
        <f>423132.86*('PPI Adj'!H6)</f>
        <v>437519.37724</v>
      </c>
      <c r="G23" s="177"/>
    </row>
    <row r="24" spans="1:8" ht="57" customHeight="1" thickBot="1" x14ac:dyDescent="0.25">
      <c r="A24" s="84" t="s">
        <v>41</v>
      </c>
      <c r="B24" s="505" t="s">
        <v>527</v>
      </c>
      <c r="C24" s="506"/>
      <c r="D24" s="507"/>
      <c r="E24" s="66"/>
      <c r="F24" s="188">
        <v>20</v>
      </c>
      <c r="G24" s="177"/>
    </row>
    <row r="25" spans="1:8" x14ac:dyDescent="0.2">
      <c r="A25" s="95"/>
      <c r="B25" s="1"/>
      <c r="C25" s="1"/>
      <c r="D25" s="1"/>
      <c r="E25" s="65"/>
      <c r="F25" s="177"/>
      <c r="G25" s="177"/>
    </row>
    <row r="26" spans="1:8" ht="13.5" thickBot="1" x14ac:dyDescent="0.25">
      <c r="A26" s="95"/>
      <c r="B26" s="1"/>
      <c r="C26" s="1"/>
      <c r="D26" s="1"/>
      <c r="E26" s="65"/>
      <c r="F26" s="177"/>
      <c r="G26" s="177"/>
    </row>
    <row r="27" spans="1:8" s="7" customFormat="1" ht="15.75" customHeight="1" thickBot="1" x14ac:dyDescent="0.25">
      <c r="A27" s="480" t="s">
        <v>164</v>
      </c>
      <c r="B27" s="481"/>
      <c r="C27" s="481"/>
      <c r="D27" s="482"/>
      <c r="E27" s="32"/>
      <c r="F27" s="189" t="s">
        <v>395</v>
      </c>
      <c r="G27" s="173"/>
    </row>
    <row r="28" spans="1:8" s="3" customFormat="1" ht="26.25" customHeight="1" thickBot="1" x14ac:dyDescent="0.3">
      <c r="A28" s="49" t="s">
        <v>6</v>
      </c>
      <c r="B28" s="50" t="s">
        <v>7</v>
      </c>
      <c r="C28" s="483" t="s">
        <v>612</v>
      </c>
      <c r="D28" s="484"/>
      <c r="E28" s="31"/>
      <c r="F28" s="174" t="s">
        <v>184</v>
      </c>
      <c r="G28" s="190"/>
    </row>
    <row r="29" spans="1:8" s="12" customFormat="1" ht="65.25" customHeight="1" thickBot="1" x14ac:dyDescent="0.3">
      <c r="A29" s="43" t="s">
        <v>8</v>
      </c>
      <c r="B29" s="23" t="s">
        <v>576</v>
      </c>
      <c r="C29" s="369" t="s">
        <v>118</v>
      </c>
      <c r="D29" s="370"/>
      <c r="E29" s="111"/>
      <c r="F29" s="184">
        <v>27500</v>
      </c>
      <c r="G29" s="191"/>
    </row>
    <row r="30" spans="1:8" s="12" customFormat="1" ht="15" customHeight="1" x14ac:dyDescent="0.25">
      <c r="A30" s="155" t="s">
        <v>21</v>
      </c>
      <c r="B30" s="156" t="s">
        <v>577</v>
      </c>
      <c r="C30" s="347" t="s">
        <v>67</v>
      </c>
      <c r="D30" s="348"/>
      <c r="E30" s="111"/>
      <c r="F30" s="192">
        <v>8</v>
      </c>
      <c r="G30" s="191"/>
    </row>
    <row r="31" spans="1:8" s="12" customFormat="1" ht="15.75" customHeight="1" thickBot="1" x14ac:dyDescent="0.3">
      <c r="A31" s="157"/>
      <c r="B31" s="158"/>
      <c r="C31" s="349" t="s">
        <v>68</v>
      </c>
      <c r="D31" s="350"/>
      <c r="E31" s="111"/>
      <c r="F31" s="184">
        <v>48</v>
      </c>
      <c r="G31" s="191"/>
    </row>
    <row r="32" spans="1:8" s="12" customFormat="1" ht="15.75" customHeight="1" thickBot="1" x14ac:dyDescent="0.3">
      <c r="A32" s="44" t="s">
        <v>123</v>
      </c>
      <c r="B32" s="24" t="s">
        <v>108</v>
      </c>
      <c r="C32" s="395"/>
      <c r="D32" s="396"/>
      <c r="E32" s="159"/>
      <c r="F32" s="193"/>
      <c r="G32" s="191"/>
    </row>
    <row r="33" spans="1:7" s="12" customFormat="1" ht="15" customHeight="1" x14ac:dyDescent="0.25">
      <c r="A33" s="155" t="s">
        <v>59</v>
      </c>
      <c r="B33" s="156"/>
      <c r="C33" s="347" t="s">
        <v>58</v>
      </c>
      <c r="D33" s="348"/>
      <c r="E33" s="111"/>
      <c r="F33" s="192">
        <v>199</v>
      </c>
      <c r="G33" s="191"/>
    </row>
    <row r="34" spans="1:7" s="12" customFormat="1" ht="15" customHeight="1" x14ac:dyDescent="0.25">
      <c r="A34" s="160"/>
      <c r="B34" s="161"/>
      <c r="C34" s="353" t="s">
        <v>57</v>
      </c>
      <c r="D34" s="354"/>
      <c r="E34" s="111"/>
      <c r="F34" s="180">
        <v>359.7</v>
      </c>
      <c r="G34" s="191"/>
    </row>
    <row r="35" spans="1:7" s="12" customFormat="1" ht="15" customHeight="1" x14ac:dyDescent="0.25">
      <c r="A35" s="160"/>
      <c r="B35" s="161"/>
      <c r="C35" s="353" t="s">
        <v>69</v>
      </c>
      <c r="D35" s="354"/>
      <c r="E35" s="111"/>
      <c r="F35" s="180">
        <v>90</v>
      </c>
      <c r="G35" s="191"/>
    </row>
    <row r="36" spans="1:7" s="12" customFormat="1" ht="15" customHeight="1" x14ac:dyDescent="0.25">
      <c r="A36" s="160"/>
      <c r="B36" s="161"/>
      <c r="C36" s="353" t="s">
        <v>70</v>
      </c>
      <c r="D36" s="354"/>
      <c r="E36" s="111"/>
      <c r="F36" s="180">
        <v>78</v>
      </c>
      <c r="G36" s="191"/>
    </row>
    <row r="37" spans="1:7" s="12" customFormat="1" ht="15.75" customHeight="1" thickBot="1" x14ac:dyDescent="0.3">
      <c r="A37" s="157"/>
      <c r="B37" s="158"/>
      <c r="C37" s="349" t="s">
        <v>111</v>
      </c>
      <c r="D37" s="350"/>
      <c r="E37" s="111"/>
      <c r="F37" s="184">
        <v>315</v>
      </c>
      <c r="G37" s="191"/>
    </row>
    <row r="38" spans="1:7" s="12" customFormat="1" ht="15.75" customHeight="1" thickBot="1" x14ac:dyDescent="0.3">
      <c r="A38" s="44" t="s">
        <v>224</v>
      </c>
      <c r="B38" s="24" t="s">
        <v>223</v>
      </c>
      <c r="C38" s="162"/>
      <c r="D38" s="163"/>
      <c r="E38" s="159"/>
      <c r="F38" s="193"/>
      <c r="G38" s="191"/>
    </row>
    <row r="39" spans="1:7" s="12" customFormat="1" ht="15" customHeight="1" x14ac:dyDescent="0.25">
      <c r="A39" s="155" t="s">
        <v>11</v>
      </c>
      <c r="B39" s="156"/>
      <c r="C39" s="347" t="s">
        <v>24</v>
      </c>
      <c r="D39" s="348"/>
      <c r="E39" s="111"/>
      <c r="F39" s="192">
        <v>10000</v>
      </c>
      <c r="G39" s="191"/>
    </row>
    <row r="40" spans="1:7" s="12" customFormat="1" ht="15.75" customHeight="1" thickBot="1" x14ac:dyDescent="0.3">
      <c r="A40" s="157"/>
      <c r="B40" s="158"/>
      <c r="C40" s="349" t="s">
        <v>22</v>
      </c>
      <c r="D40" s="350"/>
      <c r="E40" s="111"/>
      <c r="F40" s="184">
        <v>10000</v>
      </c>
      <c r="G40" s="191"/>
    </row>
    <row r="41" spans="1:7" s="12" customFormat="1" ht="15" customHeight="1" x14ac:dyDescent="0.25">
      <c r="A41" s="155" t="s">
        <v>16</v>
      </c>
      <c r="B41" s="156"/>
      <c r="C41" s="347" t="s">
        <v>24</v>
      </c>
      <c r="D41" s="348"/>
      <c r="E41" s="111"/>
      <c r="F41" s="192">
        <v>17500</v>
      </c>
      <c r="G41" s="191"/>
    </row>
    <row r="42" spans="1:7" s="12" customFormat="1" ht="15.75" customHeight="1" thickBot="1" x14ac:dyDescent="0.3">
      <c r="A42" s="157"/>
      <c r="B42" s="158"/>
      <c r="C42" s="349" t="s">
        <v>23</v>
      </c>
      <c r="D42" s="350"/>
      <c r="E42" s="111"/>
      <c r="F42" s="184">
        <v>17500</v>
      </c>
      <c r="G42" s="191"/>
    </row>
    <row r="43" spans="1:7" s="12" customFormat="1" ht="15.75" customHeight="1" thickBot="1" x14ac:dyDescent="0.3">
      <c r="A43" s="44" t="s">
        <v>52</v>
      </c>
      <c r="B43" s="24" t="s">
        <v>53</v>
      </c>
      <c r="C43" s="162"/>
      <c r="D43" s="163"/>
      <c r="E43" s="159"/>
      <c r="F43" s="193"/>
      <c r="G43" s="191"/>
    </row>
    <row r="44" spans="1:7" s="12" customFormat="1" ht="15" customHeight="1" x14ac:dyDescent="0.25">
      <c r="A44" s="155" t="s">
        <v>219</v>
      </c>
      <c r="B44" s="156" t="s">
        <v>578</v>
      </c>
      <c r="C44" s="347" t="s">
        <v>221</v>
      </c>
      <c r="D44" s="348"/>
      <c r="E44" s="111"/>
      <c r="F44" s="194" t="s">
        <v>605</v>
      </c>
      <c r="G44" s="191"/>
    </row>
    <row r="45" spans="1:7" s="12" customFormat="1" ht="15" customHeight="1" x14ac:dyDescent="0.25">
      <c r="A45" s="160"/>
      <c r="B45" s="161"/>
      <c r="C45" s="353" t="s">
        <v>220</v>
      </c>
      <c r="D45" s="354"/>
      <c r="E45" s="111"/>
      <c r="F45" s="194" t="s">
        <v>428</v>
      </c>
      <c r="G45" s="191"/>
    </row>
    <row r="46" spans="1:7" s="12" customFormat="1" ht="15.75" customHeight="1" thickBot="1" x14ac:dyDescent="0.3">
      <c r="A46" s="160"/>
      <c r="B46" s="161"/>
      <c r="C46" s="349"/>
      <c r="D46" s="350"/>
      <c r="E46" s="111"/>
      <c r="F46" s="179"/>
      <c r="G46" s="191"/>
    </row>
    <row r="47" spans="1:7" s="12" customFormat="1" ht="15.75" customHeight="1" thickBot="1" x14ac:dyDescent="0.3">
      <c r="A47" s="44" t="s">
        <v>219</v>
      </c>
      <c r="B47" s="24" t="s">
        <v>218</v>
      </c>
      <c r="C47" s="395"/>
      <c r="D47" s="396"/>
      <c r="E47" s="159"/>
      <c r="F47" s="193"/>
      <c r="G47" s="191"/>
    </row>
    <row r="48" spans="1:7" s="12" customFormat="1" ht="30" customHeight="1" thickBot="1" x14ac:dyDescent="0.3">
      <c r="A48" s="48" t="s">
        <v>12</v>
      </c>
      <c r="B48" s="16" t="s">
        <v>142</v>
      </c>
      <c r="C48" s="347" t="s">
        <v>205</v>
      </c>
      <c r="D48" s="348"/>
      <c r="E48" s="111"/>
      <c r="F48" s="176" t="s">
        <v>416</v>
      </c>
      <c r="G48" s="191"/>
    </row>
    <row r="49" spans="1:7" s="12" customFormat="1" ht="30" customHeight="1" thickBot="1" x14ac:dyDescent="0.3">
      <c r="A49" s="48"/>
      <c r="B49" s="16"/>
      <c r="C49" s="353" t="s">
        <v>531</v>
      </c>
      <c r="D49" s="354"/>
      <c r="E49" s="111"/>
      <c r="F49" s="195">
        <v>5840</v>
      </c>
      <c r="G49" s="191"/>
    </row>
    <row r="50" spans="1:7" s="12" customFormat="1" ht="30" customHeight="1" thickBot="1" x14ac:dyDescent="0.3">
      <c r="A50" s="48"/>
      <c r="B50" s="16"/>
      <c r="C50" s="353" t="s">
        <v>203</v>
      </c>
      <c r="D50" s="354"/>
      <c r="E50" s="111"/>
      <c r="F50" s="176" t="s">
        <v>606</v>
      </c>
      <c r="G50" s="191"/>
    </row>
    <row r="51" spans="1:7" s="12" customFormat="1" ht="30" customHeight="1" thickBot="1" x14ac:dyDescent="0.3">
      <c r="A51" s="48"/>
      <c r="B51" s="16"/>
      <c r="C51" s="353" t="s">
        <v>532</v>
      </c>
      <c r="D51" s="354"/>
      <c r="E51" s="111"/>
      <c r="F51" s="195">
        <v>5840</v>
      </c>
      <c r="G51" s="191"/>
    </row>
    <row r="52" spans="1:7" s="12" customFormat="1" ht="15.75" customHeight="1" thickBot="1" x14ac:dyDescent="0.3">
      <c r="A52" s="48"/>
      <c r="B52" s="16"/>
      <c r="C52" s="353" t="s">
        <v>112</v>
      </c>
      <c r="D52" s="354"/>
      <c r="E52" s="111"/>
      <c r="F52" s="176" t="s">
        <v>449</v>
      </c>
      <c r="G52" s="191"/>
    </row>
    <row r="53" spans="1:7" s="12" customFormat="1" ht="15.75" customHeight="1" thickBot="1" x14ac:dyDescent="0.3">
      <c r="A53" s="48"/>
      <c r="B53" s="16"/>
      <c r="C53" s="353" t="s">
        <v>113</v>
      </c>
      <c r="D53" s="354"/>
      <c r="E53" s="111"/>
      <c r="F53" s="176" t="s">
        <v>450</v>
      </c>
      <c r="G53" s="191"/>
    </row>
    <row r="54" spans="1:7" s="12" customFormat="1" ht="15.75" customHeight="1" thickBot="1" x14ac:dyDescent="0.3">
      <c r="A54" s="48"/>
      <c r="B54" s="16"/>
      <c r="C54" s="353" t="s">
        <v>114</v>
      </c>
      <c r="D54" s="354"/>
      <c r="E54" s="111"/>
      <c r="F54" s="176" t="s">
        <v>451</v>
      </c>
      <c r="G54" s="191"/>
    </row>
    <row r="55" spans="1:7" s="12" customFormat="1" ht="15.75" customHeight="1" thickBot="1" x14ac:dyDescent="0.3">
      <c r="A55" s="48"/>
      <c r="B55" s="16"/>
      <c r="C55" s="349" t="s">
        <v>115</v>
      </c>
      <c r="D55" s="350"/>
      <c r="E55" s="111"/>
      <c r="F55" s="176" t="s">
        <v>452</v>
      </c>
      <c r="G55" s="191"/>
    </row>
    <row r="56" spans="1:7" s="12" customFormat="1" ht="15" customHeight="1" x14ac:dyDescent="0.25">
      <c r="A56" s="155" t="s">
        <v>10</v>
      </c>
      <c r="B56" s="156" t="s">
        <v>62</v>
      </c>
      <c r="C56" s="347" t="s">
        <v>116</v>
      </c>
      <c r="D56" s="348"/>
      <c r="E56" s="111"/>
      <c r="F56" s="192">
        <v>2</v>
      </c>
      <c r="G56" s="191"/>
    </row>
    <row r="57" spans="1:7" s="12" customFormat="1" ht="15" customHeight="1" x14ac:dyDescent="0.25">
      <c r="A57" s="160"/>
      <c r="B57" s="161"/>
      <c r="C57" s="353" t="s">
        <v>117</v>
      </c>
      <c r="D57" s="354"/>
      <c r="E57" s="111"/>
      <c r="F57" s="180" t="s">
        <v>197</v>
      </c>
      <c r="G57" s="191"/>
    </row>
    <row r="58" spans="1:7" s="12" customFormat="1" ht="15.75" customHeight="1" thickBot="1" x14ac:dyDescent="0.3">
      <c r="A58" s="160"/>
      <c r="B58" s="161"/>
      <c r="C58" s="349" t="s">
        <v>71</v>
      </c>
      <c r="D58" s="350"/>
      <c r="E58" s="111"/>
      <c r="F58" s="179" t="s">
        <v>579</v>
      </c>
      <c r="G58" s="191"/>
    </row>
    <row r="59" spans="1:7" s="12" customFormat="1" ht="90" customHeight="1" thickBot="1" x14ac:dyDescent="0.3">
      <c r="A59" s="45" t="s">
        <v>185</v>
      </c>
      <c r="B59" s="22" t="s">
        <v>186</v>
      </c>
      <c r="C59" s="369" t="s">
        <v>187</v>
      </c>
      <c r="D59" s="370"/>
      <c r="E59" s="111"/>
      <c r="F59" s="192" t="s">
        <v>580</v>
      </c>
      <c r="G59" s="191"/>
    </row>
    <row r="60" spans="1:7" s="12" customFormat="1" ht="15" customHeight="1" x14ac:dyDescent="0.25">
      <c r="A60" s="155" t="s">
        <v>26</v>
      </c>
      <c r="B60" s="156"/>
      <c r="C60" s="347" t="s">
        <v>188</v>
      </c>
      <c r="D60" s="348"/>
      <c r="E60" s="111"/>
      <c r="F60" s="192">
        <v>2</v>
      </c>
      <c r="G60" s="191"/>
    </row>
    <row r="61" spans="1:7" s="12" customFormat="1" ht="15" customHeight="1" x14ac:dyDescent="0.25">
      <c r="A61" s="160"/>
      <c r="B61" s="161"/>
      <c r="C61" s="353" t="s">
        <v>189</v>
      </c>
      <c r="D61" s="354"/>
      <c r="E61" s="111"/>
      <c r="F61" s="180" t="s">
        <v>581</v>
      </c>
      <c r="G61" s="191"/>
    </row>
    <row r="62" spans="1:7" s="12" customFormat="1" ht="13.5" customHeight="1" thickBot="1" x14ac:dyDescent="0.3">
      <c r="A62" s="157"/>
      <c r="B62" s="158"/>
      <c r="C62" s="349" t="s">
        <v>190</v>
      </c>
      <c r="D62" s="350"/>
      <c r="E62" s="111"/>
      <c r="F62" s="184" t="s">
        <v>376</v>
      </c>
      <c r="G62" s="191"/>
    </row>
    <row r="63" spans="1:7" s="12" customFormat="1" ht="15.75" customHeight="1" thickBot="1" x14ac:dyDescent="0.3">
      <c r="A63" s="44" t="s">
        <v>44</v>
      </c>
      <c r="B63" s="24" t="s">
        <v>582</v>
      </c>
      <c r="C63" s="478"/>
      <c r="D63" s="479"/>
      <c r="E63" s="159"/>
      <c r="F63" s="196"/>
      <c r="G63" s="191"/>
    </row>
    <row r="64" spans="1:7" s="12" customFormat="1" ht="31.5" customHeight="1" thickBot="1" x14ac:dyDescent="0.3">
      <c r="A64" s="44" t="s">
        <v>44</v>
      </c>
      <c r="B64" s="24" t="s">
        <v>63</v>
      </c>
      <c r="C64" s="478"/>
      <c r="D64" s="479"/>
      <c r="E64" s="159"/>
      <c r="F64" s="196"/>
      <c r="G64" s="191"/>
    </row>
    <row r="65" spans="1:7" s="12" customFormat="1" ht="26.25" thickBot="1" x14ac:dyDescent="0.3">
      <c r="A65" s="44" t="s">
        <v>44</v>
      </c>
      <c r="B65" s="24" t="s">
        <v>64</v>
      </c>
      <c r="C65" s="478"/>
      <c r="D65" s="479"/>
      <c r="E65" s="159"/>
      <c r="F65" s="196"/>
      <c r="G65" s="191"/>
    </row>
    <row r="66" spans="1:7" s="12" customFormat="1" ht="26.25" thickBot="1" x14ac:dyDescent="0.3">
      <c r="A66" s="44" t="s">
        <v>50</v>
      </c>
      <c r="B66" s="24" t="s">
        <v>216</v>
      </c>
      <c r="C66" s="478"/>
      <c r="D66" s="479"/>
      <c r="E66" s="159"/>
      <c r="F66" s="196"/>
      <c r="G66" s="191"/>
    </row>
    <row r="67" spans="1:7" s="12" customFormat="1" ht="15.75" customHeight="1" thickBot="1" x14ac:dyDescent="0.3">
      <c r="A67" s="44" t="s">
        <v>27</v>
      </c>
      <c r="B67" s="24" t="s">
        <v>215</v>
      </c>
      <c r="C67" s="369" t="s">
        <v>77</v>
      </c>
      <c r="D67" s="370"/>
      <c r="E67" s="111"/>
      <c r="F67" s="193" t="s">
        <v>455</v>
      </c>
      <c r="G67" s="191"/>
    </row>
    <row r="68" spans="1:7" s="12" customFormat="1" ht="51.75" thickBot="1" x14ac:dyDescent="0.3">
      <c r="A68" s="44" t="s">
        <v>214</v>
      </c>
      <c r="B68" s="24" t="s">
        <v>213</v>
      </c>
      <c r="C68" s="478"/>
      <c r="D68" s="479"/>
      <c r="E68" s="159"/>
      <c r="F68" s="196"/>
      <c r="G68" s="191"/>
    </row>
    <row r="69" spans="1:7" s="12" customFormat="1" ht="39" thickBot="1" x14ac:dyDescent="0.3">
      <c r="A69" s="44" t="s">
        <v>51</v>
      </c>
      <c r="B69" s="24" t="s">
        <v>212</v>
      </c>
      <c r="C69" s="478"/>
      <c r="D69" s="479"/>
      <c r="E69" s="159"/>
      <c r="F69" s="193"/>
      <c r="G69" s="191"/>
    </row>
    <row r="70" spans="1:7" s="12" customFormat="1" ht="42" customHeight="1" thickBot="1" x14ac:dyDescent="0.3">
      <c r="A70" s="44" t="s">
        <v>54</v>
      </c>
      <c r="B70" s="24" t="s">
        <v>80</v>
      </c>
      <c r="C70" s="478"/>
      <c r="D70" s="479"/>
      <c r="E70" s="159"/>
      <c r="F70" s="193"/>
      <c r="G70" s="191"/>
    </row>
    <row r="71" spans="1:7" s="12" customFormat="1" ht="42" customHeight="1" thickBot="1" x14ac:dyDescent="0.3">
      <c r="A71" s="44" t="s">
        <v>29</v>
      </c>
      <c r="B71" s="24" t="s">
        <v>583</v>
      </c>
      <c r="C71" s="478"/>
      <c r="D71" s="479"/>
      <c r="E71" s="159"/>
      <c r="F71" s="193"/>
      <c r="G71" s="191"/>
    </row>
    <row r="72" spans="1:7" s="12" customFormat="1" ht="51.75" thickBot="1" x14ac:dyDescent="0.3">
      <c r="A72" s="44" t="s">
        <v>31</v>
      </c>
      <c r="B72" s="24" t="s">
        <v>210</v>
      </c>
      <c r="C72" s="369" t="s">
        <v>30</v>
      </c>
      <c r="D72" s="370"/>
      <c r="E72" s="111"/>
      <c r="F72" s="193" t="s">
        <v>411</v>
      </c>
      <c r="G72" s="191"/>
    </row>
    <row r="73" spans="1:7" s="12" customFormat="1" ht="26.25" thickBot="1" x14ac:dyDescent="0.3">
      <c r="A73" s="44" t="s">
        <v>55</v>
      </c>
      <c r="B73" s="24" t="s">
        <v>95</v>
      </c>
      <c r="C73" s="478"/>
      <c r="D73" s="479"/>
      <c r="E73" s="159"/>
      <c r="F73" s="193" t="s">
        <v>456</v>
      </c>
      <c r="G73" s="191"/>
    </row>
    <row r="74" spans="1:7" s="12" customFormat="1" ht="39" customHeight="1" thickBot="1" x14ac:dyDescent="0.3">
      <c r="A74" s="44" t="s">
        <v>32</v>
      </c>
      <c r="B74" s="24" t="s">
        <v>96</v>
      </c>
      <c r="C74" s="369" t="s">
        <v>30</v>
      </c>
      <c r="D74" s="370"/>
      <c r="E74" s="111"/>
      <c r="F74" s="193" t="s">
        <v>412</v>
      </c>
      <c r="G74" s="191"/>
    </row>
    <row r="75" spans="1:7" s="12" customFormat="1" ht="39" thickBot="1" x14ac:dyDescent="0.3">
      <c r="A75" s="44" t="s">
        <v>56</v>
      </c>
      <c r="B75" s="24" t="s">
        <v>540</v>
      </c>
      <c r="C75" s="478"/>
      <c r="D75" s="479"/>
      <c r="E75" s="159"/>
      <c r="F75" s="193"/>
      <c r="G75" s="191"/>
    </row>
    <row r="76" spans="1:7" s="12" customFormat="1" ht="27.6" customHeight="1" thickBot="1" x14ac:dyDescent="0.3">
      <c r="A76" s="44" t="s">
        <v>48</v>
      </c>
      <c r="B76" s="24" t="s">
        <v>541</v>
      </c>
      <c r="C76" s="478"/>
      <c r="D76" s="479"/>
      <c r="E76" s="159"/>
      <c r="F76" s="193"/>
      <c r="G76" s="191"/>
    </row>
    <row r="77" spans="1:7" s="12" customFormat="1" ht="40.9" customHeight="1" thickBot="1" x14ac:dyDescent="0.3">
      <c r="A77" s="44" t="s">
        <v>49</v>
      </c>
      <c r="B77" s="24" t="s">
        <v>103</v>
      </c>
      <c r="C77" s="478" t="s">
        <v>542</v>
      </c>
      <c r="D77" s="479"/>
      <c r="E77" s="159"/>
      <c r="F77" s="193" t="s">
        <v>584</v>
      </c>
      <c r="G77" s="191"/>
    </row>
    <row r="78" spans="1:7" s="12" customFormat="1" ht="26.25" thickBot="1" x14ac:dyDescent="0.3">
      <c r="A78" s="44" t="s">
        <v>46</v>
      </c>
      <c r="B78" s="24" t="s">
        <v>81</v>
      </c>
      <c r="C78" s="478"/>
      <c r="D78" s="479"/>
      <c r="E78" s="159"/>
      <c r="F78" s="193"/>
      <c r="G78" s="191"/>
    </row>
    <row r="79" spans="1:7" ht="13.5" thickBot="1" x14ac:dyDescent="0.25">
      <c r="F79" s="177"/>
      <c r="G79" s="177"/>
    </row>
    <row r="80" spans="1:7" s="15" customFormat="1" ht="18" customHeight="1" thickBot="1" x14ac:dyDescent="0.3">
      <c r="A80" s="480" t="s">
        <v>544</v>
      </c>
      <c r="B80" s="481"/>
      <c r="C80" s="481"/>
      <c r="D80" s="482"/>
      <c r="E80" s="32"/>
      <c r="F80" s="408" t="s">
        <v>395</v>
      </c>
      <c r="G80" s="409"/>
    </row>
    <row r="81" spans="1:7" s="3" customFormat="1" ht="31.5" customHeight="1" x14ac:dyDescent="0.25">
      <c r="A81" s="164" t="s">
        <v>33</v>
      </c>
      <c r="B81" s="165" t="s">
        <v>7</v>
      </c>
      <c r="C81" s="493" t="s">
        <v>165</v>
      </c>
      <c r="D81" s="494"/>
      <c r="E81" s="31"/>
      <c r="F81" s="197" t="s">
        <v>184</v>
      </c>
      <c r="G81" s="306" t="s">
        <v>546</v>
      </c>
    </row>
    <row r="82" spans="1:7" s="12" customFormat="1" ht="41.25" customHeight="1" thickBot="1" x14ac:dyDescent="0.3">
      <c r="A82" s="47" t="s">
        <v>83</v>
      </c>
      <c r="B82" s="17" t="s">
        <v>146</v>
      </c>
      <c r="C82" s="422"/>
      <c r="D82" s="423"/>
      <c r="E82" s="159"/>
      <c r="F82" s="198"/>
      <c r="G82" s="303">
        <f>-1117.06*('PPI Adj'!H6)</f>
        <v>-1155.0400400000001</v>
      </c>
    </row>
    <row r="83" spans="1:7" s="12" customFormat="1" ht="39" customHeight="1" thickBot="1" x14ac:dyDescent="0.3">
      <c r="A83" s="44" t="s">
        <v>34</v>
      </c>
      <c r="B83" s="24" t="s">
        <v>547</v>
      </c>
      <c r="C83" s="495" t="s">
        <v>30</v>
      </c>
      <c r="D83" s="496"/>
      <c r="E83" s="111"/>
      <c r="F83" s="199" t="s">
        <v>585</v>
      </c>
      <c r="G83" s="200">
        <f>1047.38*('PPI Adj'!H6)</f>
        <v>1082.9909200000002</v>
      </c>
    </row>
    <row r="84" spans="1:7" s="12" customFormat="1" ht="41.25" customHeight="1" thickBot="1" x14ac:dyDescent="0.3">
      <c r="A84" s="44" t="s">
        <v>35</v>
      </c>
      <c r="B84" s="24" t="s">
        <v>97</v>
      </c>
      <c r="C84" s="395"/>
      <c r="D84" s="396"/>
      <c r="E84" s="159"/>
      <c r="F84" s="199"/>
      <c r="G84" s="200">
        <f>499.91*('PPI Adj'!H6)</f>
        <v>516.90694000000008</v>
      </c>
    </row>
    <row r="85" spans="1:7" s="12" customFormat="1" ht="51.75" thickBot="1" x14ac:dyDescent="0.3">
      <c r="A85" s="44" t="s">
        <v>36</v>
      </c>
      <c r="B85" s="24" t="s">
        <v>548</v>
      </c>
      <c r="C85" s="495" t="s">
        <v>99</v>
      </c>
      <c r="D85" s="496"/>
      <c r="E85" s="111"/>
      <c r="F85" s="199" t="s">
        <v>586</v>
      </c>
      <c r="G85" s="200">
        <f>528.23*('PPI Adj'!H6)</f>
        <v>546.18982000000005</v>
      </c>
    </row>
    <row r="86" spans="1:7" s="12" customFormat="1" ht="30.75" customHeight="1" x14ac:dyDescent="0.25">
      <c r="A86" s="155" t="s">
        <v>60</v>
      </c>
      <c r="B86" s="501" t="s">
        <v>549</v>
      </c>
      <c r="C86" s="503" t="s">
        <v>203</v>
      </c>
      <c r="D86" s="348"/>
      <c r="E86" s="111"/>
      <c r="F86" s="201" t="s">
        <v>416</v>
      </c>
      <c r="G86" s="202">
        <f>95.12*('PPI Adj'!H6)</f>
        <v>98.35408000000001</v>
      </c>
    </row>
    <row r="87" spans="1:7" s="12" customFormat="1" ht="29.25" customHeight="1" x14ac:dyDescent="0.25">
      <c r="A87" s="160"/>
      <c r="B87" s="504"/>
      <c r="C87" s="499" t="s">
        <v>550</v>
      </c>
      <c r="D87" s="354"/>
      <c r="E87" s="111"/>
      <c r="F87" s="203">
        <v>6005</v>
      </c>
      <c r="G87" s="204"/>
    </row>
    <row r="88" spans="1:7" s="12" customFormat="1" ht="15" customHeight="1" x14ac:dyDescent="0.25">
      <c r="A88" s="160"/>
      <c r="B88" s="504"/>
      <c r="C88" s="499" t="s">
        <v>114</v>
      </c>
      <c r="D88" s="354"/>
      <c r="E88" s="111"/>
      <c r="F88" s="203" t="s">
        <v>458</v>
      </c>
      <c r="G88" s="204"/>
    </row>
    <row r="89" spans="1:7" s="12" customFormat="1" ht="15.75" customHeight="1" thickBot="1" x14ac:dyDescent="0.3">
      <c r="A89" s="157"/>
      <c r="B89" s="502"/>
      <c r="C89" s="500" t="s">
        <v>115</v>
      </c>
      <c r="D89" s="350"/>
      <c r="E89" s="111"/>
      <c r="F89" s="198" t="s">
        <v>459</v>
      </c>
      <c r="G89" s="205"/>
    </row>
    <row r="90" spans="1:7" s="12" customFormat="1" ht="30.75" customHeight="1" x14ac:dyDescent="0.25">
      <c r="A90" s="155" t="s">
        <v>61</v>
      </c>
      <c r="B90" s="501" t="s">
        <v>551</v>
      </c>
      <c r="C90" s="347" t="s">
        <v>205</v>
      </c>
      <c r="D90" s="348"/>
      <c r="E90" s="111"/>
      <c r="F90" s="201" t="s">
        <v>416</v>
      </c>
      <c r="G90" s="202">
        <f>1569.41*('PPI Adj'!H6)</f>
        <v>1622.7699400000001</v>
      </c>
    </row>
    <row r="91" spans="1:7" s="12" customFormat="1" ht="29.25" customHeight="1" x14ac:dyDescent="0.25">
      <c r="A91" s="160"/>
      <c r="B91" s="504"/>
      <c r="C91" s="353" t="s">
        <v>531</v>
      </c>
      <c r="D91" s="354"/>
      <c r="E91" s="111"/>
      <c r="F91" s="206">
        <v>6610</v>
      </c>
      <c r="G91" s="204"/>
    </row>
    <row r="92" spans="1:7" s="12" customFormat="1" ht="29.25" customHeight="1" x14ac:dyDescent="0.25">
      <c r="A92" s="160"/>
      <c r="B92" s="504"/>
      <c r="C92" s="353" t="s">
        <v>203</v>
      </c>
      <c r="D92" s="354"/>
      <c r="E92" s="111"/>
      <c r="F92" s="206" t="s">
        <v>416</v>
      </c>
      <c r="G92" s="204"/>
    </row>
    <row r="93" spans="1:7" s="12" customFormat="1" ht="29.25" customHeight="1" x14ac:dyDescent="0.25">
      <c r="A93" s="160"/>
      <c r="B93" s="504"/>
      <c r="C93" s="353" t="s">
        <v>550</v>
      </c>
      <c r="D93" s="354"/>
      <c r="E93" s="111"/>
      <c r="F93" s="203">
        <v>6005</v>
      </c>
      <c r="G93" s="204"/>
    </row>
    <row r="94" spans="1:7" s="12" customFormat="1" ht="15" customHeight="1" x14ac:dyDescent="0.25">
      <c r="A94" s="160"/>
      <c r="B94" s="504"/>
      <c r="C94" s="353" t="s">
        <v>112</v>
      </c>
      <c r="D94" s="354"/>
      <c r="E94" s="111"/>
      <c r="F94" s="203" t="s">
        <v>417</v>
      </c>
      <c r="G94" s="204"/>
    </row>
    <row r="95" spans="1:7" s="12" customFormat="1" ht="15" customHeight="1" x14ac:dyDescent="0.25">
      <c r="A95" s="160"/>
      <c r="B95" s="504"/>
      <c r="C95" s="353" t="s">
        <v>113</v>
      </c>
      <c r="D95" s="354"/>
      <c r="E95" s="111"/>
      <c r="F95" s="206" t="s">
        <v>418</v>
      </c>
      <c r="G95" s="204"/>
    </row>
    <row r="96" spans="1:7" s="12" customFormat="1" ht="15" customHeight="1" x14ac:dyDescent="0.25">
      <c r="A96" s="160"/>
      <c r="B96" s="504"/>
      <c r="C96" s="353" t="s">
        <v>114</v>
      </c>
      <c r="D96" s="354"/>
      <c r="E96" s="111"/>
      <c r="F96" s="206" t="s">
        <v>587</v>
      </c>
      <c r="G96" s="204"/>
    </row>
    <row r="97" spans="1:7" s="12" customFormat="1" ht="15.75" customHeight="1" thickBot="1" x14ac:dyDescent="0.3">
      <c r="A97" s="157"/>
      <c r="B97" s="502"/>
      <c r="C97" s="349" t="s">
        <v>115</v>
      </c>
      <c r="D97" s="350"/>
      <c r="E97" s="111"/>
      <c r="F97" s="198" t="s">
        <v>418</v>
      </c>
      <c r="G97" s="205"/>
    </row>
    <row r="98" spans="1:7" s="12" customFormat="1" ht="131.25" customHeight="1" thickBot="1" x14ac:dyDescent="0.3">
      <c r="A98" s="48" t="s">
        <v>86</v>
      </c>
      <c r="B98" s="16" t="s">
        <v>143</v>
      </c>
      <c r="C98" s="495" t="s">
        <v>104</v>
      </c>
      <c r="D98" s="496"/>
      <c r="E98" s="111"/>
      <c r="F98" s="201" t="s">
        <v>420</v>
      </c>
      <c r="G98" s="200">
        <f>7713.24*('PPI Adj'!H6)</f>
        <v>7975.4901600000003</v>
      </c>
    </row>
    <row r="99" spans="1:7" ht="16.5" customHeight="1" x14ac:dyDescent="0.2">
      <c r="A99" s="155" t="s">
        <v>13</v>
      </c>
      <c r="B99" s="501" t="s">
        <v>98</v>
      </c>
      <c r="C99" s="347" t="s">
        <v>30</v>
      </c>
      <c r="D99" s="348"/>
      <c r="E99" s="111"/>
      <c r="F99" s="201" t="s">
        <v>588</v>
      </c>
      <c r="G99" s="202">
        <f>11945.91*('PPI Adj'!H6)</f>
        <v>12352.07094</v>
      </c>
    </row>
    <row r="100" spans="1:7" ht="37.5" customHeight="1" thickBot="1" x14ac:dyDescent="0.25">
      <c r="A100" s="157"/>
      <c r="B100" s="502"/>
      <c r="C100" s="349" t="s">
        <v>109</v>
      </c>
      <c r="D100" s="350"/>
      <c r="E100" s="111"/>
      <c r="F100" s="198" t="s">
        <v>362</v>
      </c>
      <c r="G100" s="205"/>
    </row>
    <row r="101" spans="1:7" ht="51.75" thickBot="1" x14ac:dyDescent="0.25">
      <c r="A101" s="44" t="s">
        <v>37</v>
      </c>
      <c r="B101" s="24" t="s">
        <v>589</v>
      </c>
      <c r="C101" s="497" t="s">
        <v>30</v>
      </c>
      <c r="D101" s="498"/>
      <c r="E101" s="159"/>
      <c r="F101" s="198" t="s">
        <v>378</v>
      </c>
      <c r="G101" s="303">
        <f>658.07*('PPI Adj'!H6)</f>
        <v>680.44438000000002</v>
      </c>
    </row>
    <row r="102" spans="1:7" ht="26.25" thickBot="1" x14ac:dyDescent="0.25">
      <c r="A102" s="44" t="s">
        <v>38</v>
      </c>
      <c r="B102" s="24" t="s">
        <v>87</v>
      </c>
      <c r="C102" s="395"/>
      <c r="D102" s="396"/>
      <c r="E102" s="159"/>
      <c r="F102" s="199"/>
      <c r="G102" s="200">
        <f>644.8*('PPI Adj'!H6)</f>
        <v>666.72320000000002</v>
      </c>
    </row>
    <row r="103" spans="1:7" ht="13.5" thickBot="1" x14ac:dyDescent="0.25">
      <c r="A103" s="44" t="s">
        <v>201</v>
      </c>
      <c r="B103" s="24" t="s">
        <v>200</v>
      </c>
      <c r="C103" s="497"/>
      <c r="D103" s="498"/>
      <c r="E103" s="159"/>
      <c r="F103" s="199" t="s">
        <v>183</v>
      </c>
      <c r="G103" s="200">
        <v>0</v>
      </c>
    </row>
    <row r="104" spans="1:7" ht="26.25" thickBot="1" x14ac:dyDescent="0.25">
      <c r="A104" s="44" t="s">
        <v>39</v>
      </c>
      <c r="B104" s="24" t="s">
        <v>106</v>
      </c>
      <c r="C104" s="438" t="s">
        <v>105</v>
      </c>
      <c r="D104" s="439"/>
      <c r="E104" s="111"/>
      <c r="F104" s="199" t="s">
        <v>324</v>
      </c>
      <c r="G104" s="200">
        <f>522.03*('PPI Adj'!H6)</f>
        <v>539.77901999999995</v>
      </c>
    </row>
    <row r="105" spans="1:7" ht="43.5" customHeight="1" thickBot="1" x14ac:dyDescent="0.25">
      <c r="A105" s="44" t="s">
        <v>40</v>
      </c>
      <c r="B105" s="24" t="s">
        <v>137</v>
      </c>
      <c r="C105" s="369" t="s">
        <v>100</v>
      </c>
      <c r="D105" s="370"/>
      <c r="E105" s="111"/>
      <c r="F105" s="198" t="s">
        <v>379</v>
      </c>
      <c r="G105" s="200">
        <f>363.87*('PPI Adj'!H6)</f>
        <v>376.24158</v>
      </c>
    </row>
    <row r="106" spans="1:7" ht="39" customHeight="1" x14ac:dyDescent="0.2">
      <c r="A106" s="155" t="s">
        <v>14</v>
      </c>
      <c r="B106" s="156" t="s">
        <v>138</v>
      </c>
      <c r="C106" s="355" t="s">
        <v>139</v>
      </c>
      <c r="D106" s="356"/>
      <c r="E106" s="111"/>
      <c r="F106" s="201">
        <v>2</v>
      </c>
      <c r="G106" s="202">
        <f>42168.46*('PPI Adj'!H6)</f>
        <v>43602.187640000004</v>
      </c>
    </row>
    <row r="107" spans="1:7" ht="55.9" customHeight="1" thickBot="1" x14ac:dyDescent="0.25">
      <c r="A107" s="157"/>
      <c r="B107" s="158"/>
      <c r="C107" s="436" t="s">
        <v>274</v>
      </c>
      <c r="D107" s="437"/>
      <c r="E107" s="111"/>
      <c r="F107" s="198" t="s">
        <v>275</v>
      </c>
      <c r="G107" s="205"/>
    </row>
    <row r="108" spans="1:7" ht="65.25" customHeight="1" thickBot="1" x14ac:dyDescent="0.25">
      <c r="A108" s="44" t="s">
        <v>91</v>
      </c>
      <c r="B108" s="24" t="s">
        <v>144</v>
      </c>
      <c r="C108" s="369" t="s">
        <v>100</v>
      </c>
      <c r="D108" s="370"/>
      <c r="E108" s="111"/>
      <c r="F108" s="199" t="s">
        <v>364</v>
      </c>
      <c r="G108" s="200">
        <f>2179.93*('PPI Adj'!H6)</f>
        <v>2254.0476199999998</v>
      </c>
    </row>
    <row r="109" spans="1:7" ht="52.5" customHeight="1" thickBot="1" x14ac:dyDescent="0.25">
      <c r="A109" s="44" t="s">
        <v>92</v>
      </c>
      <c r="B109" s="24" t="s">
        <v>145</v>
      </c>
      <c r="C109" s="413"/>
      <c r="D109" s="414"/>
      <c r="E109" s="159"/>
      <c r="F109" s="199"/>
      <c r="G109" s="200">
        <f>-2237.44*('PPI Adj'!H6)</f>
        <v>-2313.51296</v>
      </c>
    </row>
    <row r="110" spans="1:7" ht="13.5" thickBot="1" x14ac:dyDescent="0.25">
      <c r="F110" s="177"/>
      <c r="G110" s="177"/>
    </row>
    <row r="111" spans="1:7" s="15" customFormat="1" ht="18.75" customHeight="1" thickBot="1" x14ac:dyDescent="0.3">
      <c r="A111" s="70" t="s">
        <v>611</v>
      </c>
      <c r="B111" s="68"/>
      <c r="C111" s="68"/>
      <c r="D111" s="69"/>
      <c r="E111" s="99"/>
      <c r="F111" s="486" t="s">
        <v>395</v>
      </c>
      <c r="G111" s="487"/>
    </row>
    <row r="112" spans="1:7" s="15" customFormat="1" ht="20.25" customHeight="1" thickBot="1" x14ac:dyDescent="0.3">
      <c r="A112" s="166" t="s">
        <v>570</v>
      </c>
      <c r="B112" s="76"/>
      <c r="C112" s="76"/>
      <c r="D112" s="216"/>
      <c r="E112" s="76"/>
      <c r="F112" s="488" t="s">
        <v>528</v>
      </c>
      <c r="G112" s="490" t="s">
        <v>600</v>
      </c>
    </row>
    <row r="113" spans="1:7" ht="26.25" customHeight="1" thickBot="1" x14ac:dyDescent="0.25">
      <c r="A113" s="104" t="s">
        <v>33</v>
      </c>
      <c r="B113" s="104" t="s">
        <v>7</v>
      </c>
      <c r="C113" s="492" t="s">
        <v>612</v>
      </c>
      <c r="D113" s="366"/>
      <c r="E113" s="33"/>
      <c r="F113" s="489"/>
      <c r="G113" s="491"/>
    </row>
    <row r="114" spans="1:7" ht="190.5" customHeight="1" thickBot="1" x14ac:dyDescent="0.25">
      <c r="A114" s="23" t="s">
        <v>85</v>
      </c>
      <c r="B114" s="167" t="s">
        <v>613</v>
      </c>
      <c r="C114" s="485" t="s">
        <v>104</v>
      </c>
      <c r="D114" s="370"/>
      <c r="E114" s="12"/>
      <c r="F114" s="199" t="s">
        <v>421</v>
      </c>
      <c r="G114" s="303">
        <f>7580.74*('PPI Adj'!H6)</f>
        <v>7838.4851600000002</v>
      </c>
    </row>
    <row r="115" spans="1:7" ht="39" thickBot="1" x14ac:dyDescent="0.25">
      <c r="A115" s="24" t="s">
        <v>272</v>
      </c>
      <c r="B115" s="126" t="s">
        <v>554</v>
      </c>
      <c r="C115" s="485"/>
      <c r="D115" s="370"/>
      <c r="E115" s="28"/>
      <c r="F115" s="199"/>
      <c r="G115" s="200"/>
    </row>
  </sheetData>
  <sheetProtection algorithmName="SHA-512" hashValue="+KZr/bIN/QIywVfwyMnizP5E0VR9q1CB3YakUWrNxXY1tMahSk8bO8RAGRQVDf1X+Vjrs3bA3ZTPI5ChvC0E+A==" saltValue="XMxwDjJLFHZXHWm4sBMNlg==" spinCount="100000" sheet="1" objects="1" scenarios="1"/>
  <dataConsolidate/>
  <mergeCells count="100">
    <mergeCell ref="B17:D17"/>
    <mergeCell ref="B13:D13"/>
    <mergeCell ref="B9:D9"/>
    <mergeCell ref="A5:E5"/>
    <mergeCell ref="A3:D3"/>
    <mergeCell ref="A4:D4"/>
    <mergeCell ref="C44:D44"/>
    <mergeCell ref="B24:D24"/>
    <mergeCell ref="B23:D23"/>
    <mergeCell ref="B19:D19"/>
    <mergeCell ref="B18:D18"/>
    <mergeCell ref="C42:D42"/>
    <mergeCell ref="C37:D37"/>
    <mergeCell ref="C39:D39"/>
    <mergeCell ref="C40:D40"/>
    <mergeCell ref="C41:D41"/>
    <mergeCell ref="B99:B100"/>
    <mergeCell ref="C84:D84"/>
    <mergeCell ref="C85:D85"/>
    <mergeCell ref="C86:D86"/>
    <mergeCell ref="C87:D87"/>
    <mergeCell ref="B86:B89"/>
    <mergeCell ref="B90:B97"/>
    <mergeCell ref="C104:D104"/>
    <mergeCell ref="C105:D105"/>
    <mergeCell ref="C106:D106"/>
    <mergeCell ref="C107:D107"/>
    <mergeCell ref="C98:D98"/>
    <mergeCell ref="C99:D99"/>
    <mergeCell ref="C100:D100"/>
    <mergeCell ref="C101:D101"/>
    <mergeCell ref="C81:D81"/>
    <mergeCell ref="C82:D82"/>
    <mergeCell ref="C83:D83"/>
    <mergeCell ref="C102:D102"/>
    <mergeCell ref="C103:D103"/>
    <mergeCell ref="C96:D96"/>
    <mergeCell ref="C97:D97"/>
    <mergeCell ref="C88:D88"/>
    <mergeCell ref="C89:D89"/>
    <mergeCell ref="C90:D90"/>
    <mergeCell ref="C91:D91"/>
    <mergeCell ref="C92:D92"/>
    <mergeCell ref="C93:D93"/>
    <mergeCell ref="C94:D94"/>
    <mergeCell ref="C95:D95"/>
    <mergeCell ref="C108:D108"/>
    <mergeCell ref="C109:D109"/>
    <mergeCell ref="C115:D115"/>
    <mergeCell ref="F111:G111"/>
    <mergeCell ref="F112:F113"/>
    <mergeCell ref="G112:G113"/>
    <mergeCell ref="C113:D113"/>
    <mergeCell ref="C114:D114"/>
    <mergeCell ref="F80:G80"/>
    <mergeCell ref="A27:D27"/>
    <mergeCell ref="C28:D28"/>
    <mergeCell ref="C29:D29"/>
    <mergeCell ref="C30:D30"/>
    <mergeCell ref="C31:D31"/>
    <mergeCell ref="C32:D32"/>
    <mergeCell ref="C33:D33"/>
    <mergeCell ref="C34:D34"/>
    <mergeCell ref="C35:D35"/>
    <mergeCell ref="A80:D80"/>
    <mergeCell ref="C77:D77"/>
    <mergeCell ref="C78:D78"/>
    <mergeCell ref="C76:D76"/>
    <mergeCell ref="C67:D67"/>
    <mergeCell ref="C36:D36"/>
    <mergeCell ref="C60:D60"/>
    <mergeCell ref="C45:D45"/>
    <mergeCell ref="C46:D46"/>
    <mergeCell ref="C47:D47"/>
    <mergeCell ref="C48:D48"/>
    <mergeCell ref="C49:D49"/>
    <mergeCell ref="C50:D50"/>
    <mergeCell ref="C52:D52"/>
    <mergeCell ref="C53:D53"/>
    <mergeCell ref="C54:D54"/>
    <mergeCell ref="C51:D51"/>
    <mergeCell ref="C55:D55"/>
    <mergeCell ref="C56:D56"/>
    <mergeCell ref="C57:D57"/>
    <mergeCell ref="C58:D58"/>
    <mergeCell ref="C59:D59"/>
    <mergeCell ref="C75:D75"/>
    <mergeCell ref="C61:D61"/>
    <mergeCell ref="C62:D62"/>
    <mergeCell ref="C63:D63"/>
    <mergeCell ref="C64:D64"/>
    <mergeCell ref="C65:D65"/>
    <mergeCell ref="C66:D66"/>
    <mergeCell ref="C68:D68"/>
    <mergeCell ref="C69:D69"/>
    <mergeCell ref="C70:D70"/>
    <mergeCell ref="C71:D71"/>
    <mergeCell ref="C72:D72"/>
    <mergeCell ref="C73:D73"/>
    <mergeCell ref="C74:D74"/>
  </mergeCells>
  <conditionalFormatting sqref="C29:C37 E29:F37 C38:F38 C39:C42 E39:F42 C43:F43 E44:F76 C44:C78 E78:F78 E82:G106 C82:C109 F107 E108:G109 C114:C115 E114:G115">
    <cfRule type="expression" dxfId="102" priority="9">
      <formula>#REF!="NO"</formula>
    </cfRule>
  </conditionalFormatting>
  <conditionalFormatting sqref="F8:F19">
    <cfRule type="expression" dxfId="101" priority="13">
      <formula>#REF!="NO"</formula>
    </cfRule>
  </conditionalFormatting>
  <conditionalFormatting sqref="F23:F24">
    <cfRule type="expression" dxfId="100" priority="1">
      <formula>#REF!="NO"</formula>
    </cfRule>
  </conditionalFormatting>
  <conditionalFormatting sqref="F59">
    <cfRule type="expression" dxfId="99" priority="14">
      <formula>#REF!="NO"</formula>
    </cfRule>
  </conditionalFormatting>
  <conditionalFormatting sqref="F65:F78">
    <cfRule type="expression" dxfId="98" priority="10">
      <formula>#REF!="NO"</formula>
    </cfRule>
  </conditionalFormatting>
  <dataValidations count="3">
    <dataValidation type="decimal" allowBlank="1" showInputMessage="1" showErrorMessage="1" error="The Additional Options NYS Discount entered must be greater than 0%, or less than or equal to 100%." sqref="F24" xr:uid="{9E4E24F9-9093-421D-ABD8-71E624A85945}">
      <formula1>0.01</formula1>
      <formula2>100</formula2>
    </dataValidation>
    <dataValidation type="decimal" allowBlank="1" showInputMessage="1" showErrorMessage="1" error="Invalid Entry - Bidder must enter a value that is greater than $0" sqref="F23" xr:uid="{437DE5B4-E5E2-4305-8943-FA206E51A0B4}">
      <formula1>0</formula1>
      <formula2>9E+21</formula2>
    </dataValidation>
    <dataValidation type="decimal" operator="greaterThanOrEqual" allowBlank="1" showInputMessage="1" showErrorMessage="1" error="The Pickup Allowance cannot be a negative number." sqref="F18" xr:uid="{3A42D288-5988-4AF2-9C40-C9F7AC633480}">
      <formula1>0</formula1>
    </dataValidation>
  </dataValidations>
  <pageMargins left="0.25" right="0.25" top="0.75" bottom="0.25" header="0.3" footer="0.3"/>
  <pageSetup scale="56"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6D2CF-F773-4F0C-8A1B-1A7635E86A71}">
  <sheetPr codeName="Sheet8">
    <tabColor theme="5"/>
    <pageSetUpPr autoPageBreaks="0" fitToPage="1"/>
  </sheetPr>
  <dimension ref="A1:G135"/>
  <sheetViews>
    <sheetView showGridLines="0" zoomScaleNormal="100" zoomScaleSheetLayoutView="85"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1.5703125" style="5" bestFit="1" customWidth="1"/>
    <col min="7" max="7" width="21.5703125" style="2" bestFit="1" customWidth="1"/>
    <col min="8" max="16384" width="9.140625" style="2"/>
  </cols>
  <sheetData>
    <row r="1" spans="1:7" ht="18" customHeight="1" x14ac:dyDescent="0.2">
      <c r="A1" s="245" t="str">
        <f>'A (Item 2-G)'!$A$1</f>
        <v>GROUP 40524-23254, SCHOOL BUSES (Statewide)                                                             Attachment 1 - Specifications and Pricing (Revised October 15, 2026)</v>
      </c>
      <c r="F1" s="2"/>
    </row>
    <row r="2" spans="1:7" s="19" customFormat="1" ht="18" customHeight="1" thickBot="1" x14ac:dyDescent="0.3">
      <c r="A2" s="305" t="str">
        <f>'Attachment 1 - Summary'!B2</f>
        <v>PC69862 Matthews Buses, Inc.</v>
      </c>
      <c r="B2" s="20"/>
      <c r="C2" s="20"/>
      <c r="D2" s="20"/>
      <c r="E2" s="20"/>
      <c r="F2" s="20"/>
    </row>
    <row r="3" spans="1:7" ht="24" thickBot="1" x14ac:dyDescent="0.25">
      <c r="A3" s="523" t="s">
        <v>267</v>
      </c>
      <c r="B3" s="524"/>
      <c r="C3" s="524"/>
      <c r="D3" s="525"/>
      <c r="E3" s="8"/>
      <c r="F3" s="8"/>
    </row>
    <row r="4" spans="1:7" ht="51" customHeight="1" thickBot="1" x14ac:dyDescent="0.25">
      <c r="A4" s="329" t="s">
        <v>266</v>
      </c>
      <c r="B4" s="330"/>
      <c r="C4" s="330"/>
      <c r="D4" s="331"/>
      <c r="E4" s="8"/>
      <c r="F4" s="8"/>
    </row>
    <row r="5" spans="1:7" s="4" customFormat="1" ht="11.25" customHeight="1" thickBot="1" x14ac:dyDescent="0.3">
      <c r="A5" s="332"/>
      <c r="B5" s="333"/>
      <c r="C5" s="333"/>
      <c r="D5" s="334"/>
      <c r="E5" s="334"/>
      <c r="F5" s="334"/>
    </row>
    <row r="6" spans="1:7" s="7" customFormat="1" ht="16.5" thickBot="1" x14ac:dyDescent="0.25">
      <c r="A6" s="335" t="s">
        <v>151</v>
      </c>
      <c r="B6" s="336"/>
      <c r="C6" s="336"/>
      <c r="D6" s="337"/>
      <c r="E6" s="30"/>
      <c r="F6" s="408" t="s">
        <v>392</v>
      </c>
      <c r="G6" s="409"/>
    </row>
    <row r="7" spans="1:7" s="4" customFormat="1" ht="15" customHeight="1" thickBot="1" x14ac:dyDescent="0.3">
      <c r="A7" s="35" t="s">
        <v>6</v>
      </c>
      <c r="B7" s="21" t="s">
        <v>165</v>
      </c>
      <c r="C7" s="26"/>
      <c r="D7" s="34"/>
      <c r="E7" s="31"/>
      <c r="F7" s="246" t="s">
        <v>19</v>
      </c>
      <c r="G7" s="246" t="s">
        <v>432</v>
      </c>
    </row>
    <row r="8" spans="1:7" ht="65.25" thickTop="1" thickBot="1" x14ac:dyDescent="0.25">
      <c r="A8" s="36" t="s">
        <v>9</v>
      </c>
      <c r="B8" s="323" t="s">
        <v>152</v>
      </c>
      <c r="C8" s="324"/>
      <c r="D8" s="325"/>
      <c r="E8" s="12"/>
      <c r="F8" s="178" t="s">
        <v>393</v>
      </c>
      <c r="G8" s="266" t="s">
        <v>434</v>
      </c>
    </row>
    <row r="9" spans="1:7" s="7" customFormat="1" ht="44.25" customHeight="1" thickTop="1" thickBot="1" x14ac:dyDescent="0.25">
      <c r="A9" s="36" t="s">
        <v>136</v>
      </c>
      <c r="B9" s="323" t="s">
        <v>191</v>
      </c>
      <c r="C9" s="324"/>
      <c r="D9" s="325"/>
      <c r="E9" s="12"/>
      <c r="F9" s="178" t="s">
        <v>433</v>
      </c>
      <c r="G9" s="266" t="s">
        <v>433</v>
      </c>
    </row>
    <row r="10" spans="1:7" ht="12.75" customHeight="1" thickTop="1" x14ac:dyDescent="0.2">
      <c r="A10" s="37" t="s">
        <v>0</v>
      </c>
      <c r="B10" s="314" t="s">
        <v>154</v>
      </c>
      <c r="C10" s="315"/>
      <c r="D10" s="316"/>
      <c r="E10" s="12"/>
      <c r="F10" s="180" t="s">
        <v>395</v>
      </c>
      <c r="G10" s="267" t="s">
        <v>395</v>
      </c>
    </row>
    <row r="11" spans="1:7" x14ac:dyDescent="0.2">
      <c r="A11" s="37" t="s">
        <v>1</v>
      </c>
      <c r="B11" s="314" t="s">
        <v>153</v>
      </c>
      <c r="C11" s="315"/>
      <c r="D11" s="316"/>
      <c r="E11" s="12"/>
      <c r="F11" s="180" t="s">
        <v>396</v>
      </c>
      <c r="G11" s="267" t="s">
        <v>396</v>
      </c>
    </row>
    <row r="12" spans="1:7" ht="12.75" customHeight="1" thickBot="1" x14ac:dyDescent="0.25">
      <c r="A12" s="38" t="s">
        <v>2</v>
      </c>
      <c r="B12" s="317" t="s">
        <v>155</v>
      </c>
      <c r="C12" s="318"/>
      <c r="D12" s="319"/>
      <c r="E12" s="12"/>
      <c r="F12" s="181" t="s">
        <v>397</v>
      </c>
      <c r="G12" s="268" t="s">
        <v>397</v>
      </c>
    </row>
    <row r="13" spans="1:7" ht="13.5" thickTop="1" x14ac:dyDescent="0.2">
      <c r="A13" s="37" t="s">
        <v>3</v>
      </c>
      <c r="B13" s="314" t="s">
        <v>157</v>
      </c>
      <c r="C13" s="315"/>
      <c r="D13" s="316"/>
      <c r="E13" s="12"/>
      <c r="F13" s="180" t="s">
        <v>337</v>
      </c>
      <c r="G13" s="267" t="s">
        <v>337</v>
      </c>
    </row>
    <row r="14" spans="1:7" x14ac:dyDescent="0.2">
      <c r="A14" s="37" t="s">
        <v>4</v>
      </c>
      <c r="B14" s="314" t="s">
        <v>156</v>
      </c>
      <c r="C14" s="315"/>
      <c r="D14" s="316"/>
      <c r="E14" s="12"/>
      <c r="F14" s="180" t="s">
        <v>398</v>
      </c>
      <c r="G14" s="267" t="s">
        <v>398</v>
      </c>
    </row>
    <row r="15" spans="1:7" ht="15.75" customHeight="1" thickBot="1" x14ac:dyDescent="0.25">
      <c r="A15" s="39" t="s">
        <v>5</v>
      </c>
      <c r="B15" s="317" t="s">
        <v>158</v>
      </c>
      <c r="C15" s="318"/>
      <c r="D15" s="319"/>
      <c r="E15" s="12"/>
      <c r="F15" s="182" t="s">
        <v>435</v>
      </c>
      <c r="G15" s="268" t="s">
        <v>435</v>
      </c>
    </row>
    <row r="16" spans="1:7" ht="29.25" customHeight="1" thickTop="1" x14ac:dyDescent="0.2">
      <c r="A16" s="37" t="s">
        <v>101</v>
      </c>
      <c r="B16" s="320" t="s">
        <v>160</v>
      </c>
      <c r="C16" s="321"/>
      <c r="D16" s="322"/>
      <c r="E16" s="12"/>
      <c r="F16" s="183">
        <v>100</v>
      </c>
      <c r="G16" s="269">
        <v>100</v>
      </c>
    </row>
    <row r="17" spans="1:7" ht="30.75" customHeight="1" thickBot="1" x14ac:dyDescent="0.25">
      <c r="A17" s="39" t="s">
        <v>43</v>
      </c>
      <c r="B17" s="317" t="s">
        <v>159</v>
      </c>
      <c r="C17" s="318"/>
      <c r="D17" s="319"/>
      <c r="E17" s="12"/>
      <c r="F17" s="182" t="s">
        <v>369</v>
      </c>
      <c r="G17" s="270" t="s">
        <v>369</v>
      </c>
    </row>
    <row r="18" spans="1:7" s="9" customFormat="1" ht="14.25" thickTop="1" thickBot="1" x14ac:dyDescent="0.25">
      <c r="C18" s="10"/>
      <c r="D18" s="10"/>
      <c r="E18" s="10"/>
      <c r="F18" s="185"/>
      <c r="G18" s="175"/>
    </row>
    <row r="19" spans="1:7" s="11" customFormat="1" ht="16.5" thickBot="1" x14ac:dyDescent="0.25">
      <c r="A19" s="335" t="s">
        <v>150</v>
      </c>
      <c r="B19" s="336"/>
      <c r="C19" s="336"/>
      <c r="D19" s="337"/>
      <c r="E19" s="30"/>
      <c r="F19" s="408" t="s">
        <v>392</v>
      </c>
      <c r="G19" s="409"/>
    </row>
    <row r="20" spans="1:7" s="4" customFormat="1" ht="15" customHeight="1" thickBot="1" x14ac:dyDescent="0.3">
      <c r="A20" s="49" t="s">
        <v>6</v>
      </c>
      <c r="B20" s="25" t="s">
        <v>165</v>
      </c>
      <c r="C20" s="27"/>
      <c r="D20" s="42"/>
      <c r="E20" s="31"/>
      <c r="F20" s="246" t="s">
        <v>19</v>
      </c>
      <c r="G20" s="246" t="s">
        <v>432</v>
      </c>
    </row>
    <row r="21" spans="1:7" ht="56.25" customHeight="1" x14ac:dyDescent="0.2">
      <c r="A21" s="40" t="s">
        <v>42</v>
      </c>
      <c r="B21" s="338" t="s">
        <v>161</v>
      </c>
      <c r="C21" s="339"/>
      <c r="D21" s="340"/>
      <c r="E21" s="12"/>
      <c r="F21" s="247">
        <f>134069.14*('PPI Adj'!D6)</f>
        <v>156458.68638000003</v>
      </c>
      <c r="G21" s="271">
        <f>175510.87*('PPI Adj'!D6)</f>
        <v>204821.18528999999</v>
      </c>
    </row>
    <row r="22" spans="1:7" ht="28.5" customHeight="1" thickBot="1" x14ac:dyDescent="0.25">
      <c r="A22" s="41" t="s">
        <v>41</v>
      </c>
      <c r="B22" s="359" t="s">
        <v>163</v>
      </c>
      <c r="C22" s="360"/>
      <c r="D22" s="361"/>
      <c r="E22" s="1"/>
      <c r="F22" s="188">
        <v>20</v>
      </c>
      <c r="G22" s="188">
        <v>20</v>
      </c>
    </row>
    <row r="23" spans="1:7" ht="13.5" thickBot="1" x14ac:dyDescent="0.25">
      <c r="A23" s="52"/>
      <c r="B23" s="1"/>
      <c r="C23" s="1"/>
      <c r="D23" s="1"/>
      <c r="E23" s="1"/>
      <c r="F23" s="249"/>
      <c r="G23" s="190"/>
    </row>
    <row r="24" spans="1:7" s="7" customFormat="1" ht="16.5" thickBot="1" x14ac:dyDescent="0.25">
      <c r="A24" s="362" t="s">
        <v>164</v>
      </c>
      <c r="B24" s="363"/>
      <c r="C24" s="363"/>
      <c r="D24" s="364"/>
      <c r="E24" s="32"/>
      <c r="F24" s="408" t="s">
        <v>392</v>
      </c>
      <c r="G24" s="409"/>
    </row>
    <row r="25" spans="1:7" s="3" customFormat="1" ht="15" customHeight="1" thickBot="1" x14ac:dyDescent="0.3">
      <c r="A25" s="49" t="s">
        <v>6</v>
      </c>
      <c r="B25" s="50" t="s">
        <v>7</v>
      </c>
      <c r="C25" s="365" t="s">
        <v>165</v>
      </c>
      <c r="D25" s="366"/>
      <c r="E25" s="33"/>
      <c r="F25" s="246" t="s">
        <v>19</v>
      </c>
      <c r="G25" s="246" t="s">
        <v>432</v>
      </c>
    </row>
    <row r="26" spans="1:7" s="12" customFormat="1" ht="78.599999999999994" customHeight="1" thickBot="1" x14ac:dyDescent="0.3">
      <c r="A26" s="43" t="s">
        <v>8</v>
      </c>
      <c r="B26" s="23" t="s">
        <v>257</v>
      </c>
      <c r="C26" s="341" t="s">
        <v>118</v>
      </c>
      <c r="D26" s="342"/>
      <c r="E26" s="28"/>
      <c r="F26" s="184">
        <v>29000</v>
      </c>
      <c r="G26" s="256">
        <v>29000</v>
      </c>
    </row>
    <row r="27" spans="1:7" s="12" customFormat="1" x14ac:dyDescent="0.25">
      <c r="A27" s="343" t="s">
        <v>21</v>
      </c>
      <c r="B27" s="345" t="s">
        <v>265</v>
      </c>
      <c r="C27" s="347" t="s">
        <v>67</v>
      </c>
      <c r="D27" s="348"/>
      <c r="E27" s="28"/>
      <c r="F27" s="192">
        <v>10</v>
      </c>
      <c r="G27" s="257">
        <v>10</v>
      </c>
    </row>
    <row r="28" spans="1:7" s="12" customFormat="1" ht="13.5" thickBot="1" x14ac:dyDescent="0.3">
      <c r="A28" s="344"/>
      <c r="B28" s="346"/>
      <c r="C28" s="341" t="s">
        <v>68</v>
      </c>
      <c r="D28" s="342"/>
      <c r="E28" s="28"/>
      <c r="F28" s="184">
        <v>60</v>
      </c>
      <c r="G28" s="258">
        <v>60</v>
      </c>
    </row>
    <row r="29" spans="1:7" s="12" customFormat="1" ht="13.5" thickBot="1" x14ac:dyDescent="0.3">
      <c r="A29" s="44" t="s">
        <v>123</v>
      </c>
      <c r="B29" s="24" t="s">
        <v>108</v>
      </c>
      <c r="C29" s="357"/>
      <c r="D29" s="358"/>
      <c r="E29" s="29"/>
      <c r="F29" s="193"/>
      <c r="G29" s="259"/>
    </row>
    <row r="30" spans="1:7" s="12" customFormat="1" x14ac:dyDescent="0.25">
      <c r="A30" s="343" t="s">
        <v>59</v>
      </c>
      <c r="B30" s="345"/>
      <c r="C30" s="347" t="s">
        <v>58</v>
      </c>
      <c r="D30" s="348"/>
      <c r="E30" s="28"/>
      <c r="F30" s="192">
        <v>238</v>
      </c>
      <c r="G30" s="257">
        <v>238</v>
      </c>
    </row>
    <row r="31" spans="1:7" s="12" customFormat="1" x14ac:dyDescent="0.25">
      <c r="A31" s="351"/>
      <c r="B31" s="352"/>
      <c r="C31" s="353" t="s">
        <v>57</v>
      </c>
      <c r="D31" s="354"/>
      <c r="E31" s="28"/>
      <c r="F31" s="180">
        <v>419.7</v>
      </c>
      <c r="G31" s="260">
        <v>419.7</v>
      </c>
    </row>
    <row r="32" spans="1:7" s="12" customFormat="1" x14ac:dyDescent="0.25">
      <c r="A32" s="351"/>
      <c r="B32" s="352"/>
      <c r="C32" s="353" t="s">
        <v>69</v>
      </c>
      <c r="D32" s="354"/>
      <c r="E32" s="28"/>
      <c r="F32" s="180">
        <v>90</v>
      </c>
      <c r="G32" s="260">
        <v>90</v>
      </c>
    </row>
    <row r="33" spans="1:7" s="12" customFormat="1" x14ac:dyDescent="0.25">
      <c r="A33" s="351"/>
      <c r="B33" s="352"/>
      <c r="C33" s="355" t="s">
        <v>70</v>
      </c>
      <c r="D33" s="356"/>
      <c r="E33" s="28"/>
      <c r="F33" s="180">
        <v>78</v>
      </c>
      <c r="G33" s="260">
        <v>78</v>
      </c>
    </row>
    <row r="34" spans="1:7" s="12" customFormat="1" ht="13.5" thickBot="1" x14ac:dyDescent="0.3">
      <c r="A34" s="344"/>
      <c r="B34" s="346"/>
      <c r="C34" s="341" t="s">
        <v>111</v>
      </c>
      <c r="D34" s="342"/>
      <c r="E34" s="28"/>
      <c r="F34" s="184">
        <v>376</v>
      </c>
      <c r="G34" s="258">
        <v>376</v>
      </c>
    </row>
    <row r="35" spans="1:7" s="12" customFormat="1" ht="16.5" customHeight="1" thickBot="1" x14ac:dyDescent="0.3">
      <c r="A35" s="44" t="s">
        <v>224</v>
      </c>
      <c r="B35" s="24" t="s">
        <v>223</v>
      </c>
      <c r="C35" s="357"/>
      <c r="D35" s="358"/>
      <c r="E35" s="29"/>
      <c r="F35" s="193"/>
      <c r="G35" s="259"/>
    </row>
    <row r="36" spans="1:7" s="12" customFormat="1" x14ac:dyDescent="0.25">
      <c r="A36" s="343" t="s">
        <v>11</v>
      </c>
      <c r="B36" s="345"/>
      <c r="C36" s="347" t="s">
        <v>24</v>
      </c>
      <c r="D36" s="348"/>
      <c r="E36" s="28"/>
      <c r="F36" s="192">
        <v>10000</v>
      </c>
      <c r="G36" s="261">
        <v>10000</v>
      </c>
    </row>
    <row r="37" spans="1:7" s="12" customFormat="1" ht="13.5" thickBot="1" x14ac:dyDescent="0.3">
      <c r="A37" s="344"/>
      <c r="B37" s="346"/>
      <c r="C37" s="341" t="s">
        <v>22</v>
      </c>
      <c r="D37" s="342"/>
      <c r="E37" s="28"/>
      <c r="F37" s="184">
        <v>10000</v>
      </c>
      <c r="G37" s="256">
        <v>10000</v>
      </c>
    </row>
    <row r="38" spans="1:7" s="12" customFormat="1" x14ac:dyDescent="0.25">
      <c r="A38" s="343" t="s">
        <v>16</v>
      </c>
      <c r="B38" s="345"/>
      <c r="C38" s="347" t="s">
        <v>24</v>
      </c>
      <c r="D38" s="348"/>
      <c r="E38" s="28"/>
      <c r="F38" s="192">
        <v>19000</v>
      </c>
      <c r="G38" s="261">
        <v>19000</v>
      </c>
    </row>
    <row r="39" spans="1:7" s="12" customFormat="1" ht="13.5" thickBot="1" x14ac:dyDescent="0.3">
      <c r="A39" s="344"/>
      <c r="B39" s="346"/>
      <c r="C39" s="349" t="s">
        <v>23</v>
      </c>
      <c r="D39" s="350"/>
      <c r="E39" s="28"/>
      <c r="F39" s="184">
        <v>19000</v>
      </c>
      <c r="G39" s="256">
        <v>19000</v>
      </c>
    </row>
    <row r="40" spans="1:7" s="12" customFormat="1" ht="15.6" customHeight="1" thickBot="1" x14ac:dyDescent="0.3">
      <c r="A40" s="44" t="s">
        <v>52</v>
      </c>
      <c r="B40" s="24" t="s">
        <v>53</v>
      </c>
      <c r="C40" s="357"/>
      <c r="D40" s="358"/>
      <c r="E40" s="29"/>
      <c r="F40" s="193"/>
      <c r="G40" s="259"/>
    </row>
    <row r="41" spans="1:7" s="12" customFormat="1" x14ac:dyDescent="0.25">
      <c r="A41" s="343" t="s">
        <v>219</v>
      </c>
      <c r="B41" s="526" t="s">
        <v>222</v>
      </c>
      <c r="C41" s="347" t="s">
        <v>221</v>
      </c>
      <c r="D41" s="348"/>
      <c r="E41" s="28"/>
      <c r="F41" s="192" t="s">
        <v>427</v>
      </c>
      <c r="G41" s="257" t="s">
        <v>427</v>
      </c>
    </row>
    <row r="42" spans="1:7" s="12" customFormat="1" ht="14.45" customHeight="1" x14ac:dyDescent="0.25">
      <c r="A42" s="351"/>
      <c r="B42" s="527"/>
      <c r="C42" s="353" t="s">
        <v>220</v>
      </c>
      <c r="D42" s="354"/>
      <c r="E42" s="28"/>
      <c r="F42" s="180" t="s">
        <v>428</v>
      </c>
      <c r="G42" s="260" t="s">
        <v>428</v>
      </c>
    </row>
    <row r="43" spans="1:7" s="12" customFormat="1" ht="80.099999999999994" customHeight="1" thickBot="1" x14ac:dyDescent="0.3">
      <c r="A43" s="344"/>
      <c r="B43" s="527"/>
      <c r="C43" s="349"/>
      <c r="D43" s="350"/>
      <c r="E43" s="28"/>
      <c r="F43" s="179"/>
      <c r="G43" s="262"/>
    </row>
    <row r="44" spans="1:7" s="12" customFormat="1" ht="27.95" customHeight="1" thickBot="1" x14ac:dyDescent="0.3">
      <c r="A44" s="44" t="s">
        <v>219</v>
      </c>
      <c r="B44" s="24" t="s">
        <v>218</v>
      </c>
      <c r="C44" s="357"/>
      <c r="D44" s="358"/>
      <c r="E44" s="29"/>
      <c r="F44" s="193"/>
      <c r="G44" s="259"/>
    </row>
    <row r="45" spans="1:7" s="12" customFormat="1" ht="13.5" thickBot="1" x14ac:dyDescent="0.3">
      <c r="A45" s="367" t="s">
        <v>12</v>
      </c>
      <c r="B45" s="368" t="s">
        <v>142</v>
      </c>
      <c r="C45" s="347" t="s">
        <v>174</v>
      </c>
      <c r="D45" s="348"/>
      <c r="E45" s="28"/>
      <c r="F45" s="192" t="s">
        <v>401</v>
      </c>
      <c r="G45" s="257" t="s">
        <v>401</v>
      </c>
    </row>
    <row r="46" spans="1:7" s="12" customFormat="1" ht="13.5" thickBot="1" x14ac:dyDescent="0.3">
      <c r="A46" s="367"/>
      <c r="B46" s="368"/>
      <c r="C46" s="353" t="s">
        <v>175</v>
      </c>
      <c r="D46" s="354"/>
      <c r="E46" s="28"/>
      <c r="F46" s="180">
        <v>5675</v>
      </c>
      <c r="G46" s="263">
        <v>5675</v>
      </c>
    </row>
    <row r="47" spans="1:7" s="12" customFormat="1" ht="13.5" thickBot="1" x14ac:dyDescent="0.3">
      <c r="A47" s="367"/>
      <c r="B47" s="368"/>
      <c r="C47" s="353" t="s">
        <v>176</v>
      </c>
      <c r="D47" s="354"/>
      <c r="E47" s="28"/>
      <c r="F47" s="209" t="s">
        <v>401</v>
      </c>
      <c r="G47" s="264" t="s">
        <v>401</v>
      </c>
    </row>
    <row r="48" spans="1:7" s="12" customFormat="1" ht="13.5" thickBot="1" x14ac:dyDescent="0.3">
      <c r="A48" s="367"/>
      <c r="B48" s="368"/>
      <c r="C48" s="353" t="s">
        <v>177</v>
      </c>
      <c r="D48" s="354"/>
      <c r="E48" s="28"/>
      <c r="F48" s="180">
        <v>5355</v>
      </c>
      <c r="G48" s="263">
        <v>5355</v>
      </c>
    </row>
    <row r="49" spans="1:7" s="12" customFormat="1" ht="13.5" thickBot="1" x14ac:dyDescent="0.3">
      <c r="A49" s="367"/>
      <c r="B49" s="368"/>
      <c r="C49" s="353" t="s">
        <v>112</v>
      </c>
      <c r="D49" s="354"/>
      <c r="E49" s="28"/>
      <c r="F49" s="180" t="s">
        <v>402</v>
      </c>
      <c r="G49" s="260" t="s">
        <v>402</v>
      </c>
    </row>
    <row r="50" spans="1:7" s="12" customFormat="1" ht="13.5" thickBot="1" x14ac:dyDescent="0.3">
      <c r="A50" s="367"/>
      <c r="B50" s="368"/>
      <c r="C50" s="353" t="s">
        <v>113</v>
      </c>
      <c r="D50" s="354"/>
      <c r="E50" s="28"/>
      <c r="F50" s="180" t="s">
        <v>403</v>
      </c>
      <c r="G50" s="260" t="s">
        <v>403</v>
      </c>
    </row>
    <row r="51" spans="1:7" s="12" customFormat="1" ht="13.5" thickBot="1" x14ac:dyDescent="0.3">
      <c r="A51" s="367"/>
      <c r="B51" s="368"/>
      <c r="C51" s="355" t="s">
        <v>114</v>
      </c>
      <c r="D51" s="356"/>
      <c r="E51" s="28"/>
      <c r="F51" s="180" t="s">
        <v>404</v>
      </c>
      <c r="G51" s="260" t="s">
        <v>404</v>
      </c>
    </row>
    <row r="52" spans="1:7" s="12" customFormat="1" ht="13.5" thickBot="1" x14ac:dyDescent="0.3">
      <c r="A52" s="367"/>
      <c r="B52" s="368"/>
      <c r="C52" s="341" t="s">
        <v>115</v>
      </c>
      <c r="D52" s="342"/>
      <c r="E52" s="28"/>
      <c r="F52" s="184" t="s">
        <v>403</v>
      </c>
      <c r="G52" s="258" t="s">
        <v>403</v>
      </c>
    </row>
    <row r="53" spans="1:7" s="12" customFormat="1" x14ac:dyDescent="0.25">
      <c r="A53" s="343" t="s">
        <v>10</v>
      </c>
      <c r="B53" s="345" t="s">
        <v>217</v>
      </c>
      <c r="C53" s="347" t="s">
        <v>116</v>
      </c>
      <c r="D53" s="348"/>
      <c r="E53" s="28"/>
      <c r="F53" s="192">
        <v>6</v>
      </c>
      <c r="G53" s="257">
        <v>6</v>
      </c>
    </row>
    <row r="54" spans="1:7" s="12" customFormat="1" x14ac:dyDescent="0.25">
      <c r="A54" s="351"/>
      <c r="B54" s="352"/>
      <c r="C54" s="353" t="s">
        <v>117</v>
      </c>
      <c r="D54" s="354"/>
      <c r="E54" s="28"/>
      <c r="F54" s="180" t="s">
        <v>344</v>
      </c>
      <c r="G54" s="260" t="s">
        <v>344</v>
      </c>
    </row>
    <row r="55" spans="1:7" s="12" customFormat="1" ht="13.5" thickBot="1" x14ac:dyDescent="0.3">
      <c r="A55" s="351"/>
      <c r="B55" s="352"/>
      <c r="C55" s="349" t="s">
        <v>71</v>
      </c>
      <c r="D55" s="350"/>
      <c r="E55" s="28"/>
      <c r="F55" s="179" t="s">
        <v>405</v>
      </c>
      <c r="G55" s="262" t="s">
        <v>405</v>
      </c>
    </row>
    <row r="56" spans="1:7" s="12" customFormat="1" ht="78.599999999999994" customHeight="1" thickBot="1" x14ac:dyDescent="0.3">
      <c r="A56" s="45" t="s">
        <v>9</v>
      </c>
      <c r="B56" s="22" t="s">
        <v>254</v>
      </c>
      <c r="C56" s="355"/>
      <c r="D56" s="356"/>
      <c r="E56" s="28"/>
      <c r="F56" s="192"/>
      <c r="G56" s="257"/>
    </row>
    <row r="57" spans="1:7" s="12" customFormat="1" ht="28.5" customHeight="1" thickBot="1" x14ac:dyDescent="0.3">
      <c r="A57" s="45" t="s">
        <v>253</v>
      </c>
      <c r="B57" s="22" t="s">
        <v>252</v>
      </c>
      <c r="C57" s="357"/>
      <c r="D57" s="358"/>
      <c r="E57" s="29"/>
      <c r="F57" s="196"/>
      <c r="G57" s="257"/>
    </row>
    <row r="58" spans="1:7" s="12" customFormat="1" ht="25.5" x14ac:dyDescent="0.25">
      <c r="A58" s="343" t="s">
        <v>25</v>
      </c>
      <c r="B58" s="345" t="s">
        <v>93</v>
      </c>
      <c r="C58" s="347" t="s">
        <v>72</v>
      </c>
      <c r="D58" s="348"/>
      <c r="E58" s="28"/>
      <c r="F58" s="192" t="s">
        <v>406</v>
      </c>
      <c r="G58" s="257" t="s">
        <v>406</v>
      </c>
    </row>
    <row r="59" spans="1:7" s="12" customFormat="1" ht="61.5" customHeight="1" thickBot="1" x14ac:dyDescent="0.3">
      <c r="A59" s="344"/>
      <c r="B59" s="346"/>
      <c r="C59" s="341" t="s">
        <v>73</v>
      </c>
      <c r="D59" s="342"/>
      <c r="E59" s="28"/>
      <c r="F59" s="184">
        <v>185</v>
      </c>
      <c r="G59" s="258">
        <v>185</v>
      </c>
    </row>
    <row r="60" spans="1:7" s="12" customFormat="1" x14ac:dyDescent="0.25">
      <c r="A60" s="343" t="s">
        <v>26</v>
      </c>
      <c r="B60" s="345" t="s">
        <v>251</v>
      </c>
      <c r="C60" s="347" t="s">
        <v>74</v>
      </c>
      <c r="D60" s="348"/>
      <c r="E60" s="28"/>
      <c r="F60" s="192" t="s">
        <v>407</v>
      </c>
      <c r="G60" s="257" t="s">
        <v>407</v>
      </c>
    </row>
    <row r="61" spans="1:7" s="12" customFormat="1" x14ac:dyDescent="0.25">
      <c r="A61" s="351"/>
      <c r="B61" s="352"/>
      <c r="C61" s="353" t="s">
        <v>75</v>
      </c>
      <c r="D61" s="354"/>
      <c r="E61" s="28"/>
      <c r="F61" s="180">
        <v>3</v>
      </c>
      <c r="G61" s="260">
        <v>3</v>
      </c>
    </row>
    <row r="62" spans="1:7" s="12" customFormat="1" ht="32.25" customHeight="1" thickBot="1" x14ac:dyDescent="0.3">
      <c r="A62" s="344"/>
      <c r="B62" s="346"/>
      <c r="C62" s="341" t="s">
        <v>250</v>
      </c>
      <c r="D62" s="342"/>
      <c r="E62" s="28"/>
      <c r="F62" s="184" t="s">
        <v>408</v>
      </c>
      <c r="G62" s="258" t="s">
        <v>408</v>
      </c>
    </row>
    <row r="63" spans="1:7" s="12" customFormat="1" ht="17.100000000000001" customHeight="1" thickBot="1" x14ac:dyDescent="0.3">
      <c r="A63" s="44" t="s">
        <v>44</v>
      </c>
      <c r="B63" s="24" t="s">
        <v>45</v>
      </c>
      <c r="C63" s="357"/>
      <c r="D63" s="358"/>
      <c r="E63" s="29"/>
      <c r="F63" s="196"/>
      <c r="G63" s="265"/>
    </row>
    <row r="64" spans="1:7" s="12" customFormat="1" ht="28.5" customHeight="1" thickBot="1" x14ac:dyDescent="0.3">
      <c r="A64" s="44" t="s">
        <v>44</v>
      </c>
      <c r="B64" s="24" t="s">
        <v>63</v>
      </c>
      <c r="C64" s="357"/>
      <c r="D64" s="358"/>
      <c r="E64" s="29"/>
      <c r="F64" s="196"/>
      <c r="G64" s="265"/>
    </row>
    <row r="65" spans="1:7" s="12" customFormat="1" ht="27" customHeight="1" thickBot="1" x14ac:dyDescent="0.3">
      <c r="A65" s="44" t="s">
        <v>44</v>
      </c>
      <c r="B65" s="24" t="s">
        <v>64</v>
      </c>
      <c r="C65" s="357"/>
      <c r="D65" s="358"/>
      <c r="E65" s="29"/>
      <c r="F65" s="196"/>
      <c r="G65" s="265"/>
    </row>
    <row r="66" spans="1:7" s="12" customFormat="1" ht="27" customHeight="1" thickBot="1" x14ac:dyDescent="0.3">
      <c r="A66" s="44" t="s">
        <v>50</v>
      </c>
      <c r="B66" s="24" t="s">
        <v>216</v>
      </c>
      <c r="C66" s="357"/>
      <c r="D66" s="358"/>
      <c r="E66" s="29"/>
      <c r="F66" s="196"/>
      <c r="G66" s="265"/>
    </row>
    <row r="67" spans="1:7" s="12" customFormat="1" ht="15.6" customHeight="1" thickBot="1" x14ac:dyDescent="0.3">
      <c r="A67" s="44" t="s">
        <v>27</v>
      </c>
      <c r="B67" s="24" t="s">
        <v>215</v>
      </c>
      <c r="C67" s="369" t="s">
        <v>77</v>
      </c>
      <c r="D67" s="370"/>
      <c r="E67" s="28"/>
      <c r="F67" s="193" t="s">
        <v>429</v>
      </c>
      <c r="G67" s="259" t="s">
        <v>429</v>
      </c>
    </row>
    <row r="68" spans="1:7" s="12" customFormat="1" ht="53.45" customHeight="1" thickBot="1" x14ac:dyDescent="0.3">
      <c r="A68" s="44" t="s">
        <v>214</v>
      </c>
      <c r="B68" s="24" t="s">
        <v>213</v>
      </c>
      <c r="C68" s="369"/>
      <c r="D68" s="370"/>
      <c r="E68" s="28"/>
      <c r="F68" s="193"/>
      <c r="G68" s="265"/>
    </row>
    <row r="69" spans="1:7" s="12" customFormat="1" ht="15" customHeight="1" x14ac:dyDescent="0.25">
      <c r="A69" s="343" t="s">
        <v>28</v>
      </c>
      <c r="B69" s="345" t="s">
        <v>264</v>
      </c>
      <c r="C69" s="472" t="s">
        <v>248</v>
      </c>
      <c r="D69" s="348"/>
      <c r="E69" s="28"/>
      <c r="F69" s="192" t="s">
        <v>436</v>
      </c>
      <c r="G69" s="257" t="s">
        <v>436</v>
      </c>
    </row>
    <row r="70" spans="1:7" s="12" customFormat="1" ht="39" thickBot="1" x14ac:dyDescent="0.3">
      <c r="A70" s="344"/>
      <c r="B70" s="346"/>
      <c r="C70" s="413" t="s">
        <v>247</v>
      </c>
      <c r="D70" s="342"/>
      <c r="E70" s="28"/>
      <c r="F70" s="184" t="s">
        <v>431</v>
      </c>
      <c r="G70" s="258" t="s">
        <v>437</v>
      </c>
    </row>
    <row r="71" spans="1:7" s="12" customFormat="1" ht="40.5" customHeight="1" thickBot="1" x14ac:dyDescent="0.3">
      <c r="A71" s="44" t="s">
        <v>51</v>
      </c>
      <c r="B71" s="24" t="s">
        <v>212</v>
      </c>
      <c r="C71" s="357"/>
      <c r="D71" s="358"/>
      <c r="E71" s="29"/>
      <c r="F71" s="193"/>
      <c r="G71" s="259"/>
    </row>
    <row r="72" spans="1:7" s="12" customFormat="1" ht="41.1" customHeight="1" thickBot="1" x14ac:dyDescent="0.3">
      <c r="A72" s="44" t="s">
        <v>54</v>
      </c>
      <c r="B72" s="24" t="s">
        <v>80</v>
      </c>
      <c r="C72" s="357"/>
      <c r="D72" s="358"/>
      <c r="E72" s="29"/>
      <c r="F72" s="193"/>
      <c r="G72" s="259"/>
    </row>
    <row r="73" spans="1:7" s="12" customFormat="1" ht="80.099999999999994" customHeight="1" thickBot="1" x14ac:dyDescent="0.3">
      <c r="A73" s="44" t="s">
        <v>29</v>
      </c>
      <c r="B73" s="24" t="s">
        <v>211</v>
      </c>
      <c r="C73" s="357"/>
      <c r="D73" s="358"/>
      <c r="E73" s="29"/>
      <c r="F73" s="193"/>
      <c r="G73" s="259"/>
    </row>
    <row r="74" spans="1:7" s="12" customFormat="1" ht="53.1" customHeight="1" thickBot="1" x14ac:dyDescent="0.3">
      <c r="A74" s="44" t="s">
        <v>31</v>
      </c>
      <c r="B74" s="24" t="s">
        <v>210</v>
      </c>
      <c r="C74" s="369" t="s">
        <v>30</v>
      </c>
      <c r="D74" s="370"/>
      <c r="E74" s="28"/>
      <c r="F74" s="193" t="s">
        <v>411</v>
      </c>
      <c r="G74" s="259" t="s">
        <v>411</v>
      </c>
    </row>
    <row r="75" spans="1:7" s="12" customFormat="1" ht="27.95" customHeight="1" thickBot="1" x14ac:dyDescent="0.3">
      <c r="A75" s="44" t="s">
        <v>55</v>
      </c>
      <c r="B75" s="24" t="s">
        <v>95</v>
      </c>
      <c r="C75" s="357"/>
      <c r="D75" s="358"/>
      <c r="E75" s="29"/>
      <c r="F75" s="193"/>
      <c r="G75" s="259"/>
    </row>
    <row r="76" spans="1:7" s="12" customFormat="1" ht="30" customHeight="1" thickBot="1" x14ac:dyDescent="0.3">
      <c r="A76" s="44" t="s">
        <v>32</v>
      </c>
      <c r="B76" s="24" t="s">
        <v>96</v>
      </c>
      <c r="C76" s="369" t="s">
        <v>30</v>
      </c>
      <c r="D76" s="370"/>
      <c r="E76" s="28"/>
      <c r="F76" s="193" t="s">
        <v>412</v>
      </c>
      <c r="G76" s="259" t="s">
        <v>412</v>
      </c>
    </row>
    <row r="77" spans="1:7" s="12" customFormat="1" ht="39.6" customHeight="1" thickBot="1" x14ac:dyDescent="0.3">
      <c r="A77" s="44" t="s">
        <v>56</v>
      </c>
      <c r="B77" s="24" t="s">
        <v>167</v>
      </c>
      <c r="C77" s="357"/>
      <c r="D77" s="358"/>
      <c r="E77" s="29"/>
      <c r="F77" s="193"/>
      <c r="G77" s="259"/>
    </row>
    <row r="78" spans="1:7" s="12" customFormat="1" ht="29.45" customHeight="1" thickBot="1" x14ac:dyDescent="0.3">
      <c r="A78" s="44" t="s">
        <v>48</v>
      </c>
      <c r="B78" s="24" t="s">
        <v>47</v>
      </c>
      <c r="C78" s="357"/>
      <c r="D78" s="358"/>
      <c r="E78" s="29"/>
      <c r="F78" s="193"/>
      <c r="G78" s="259"/>
    </row>
    <row r="79" spans="1:7" s="12" customFormat="1" ht="30" customHeight="1" thickBot="1" x14ac:dyDescent="0.3">
      <c r="A79" s="44" t="s">
        <v>49</v>
      </c>
      <c r="B79" s="24" t="s">
        <v>103</v>
      </c>
      <c r="C79" s="357"/>
      <c r="D79" s="358"/>
      <c r="E79" s="29"/>
      <c r="F79" s="193"/>
      <c r="G79" s="259"/>
    </row>
    <row r="80" spans="1:7" s="12" customFormat="1" ht="27" customHeight="1" thickBot="1" x14ac:dyDescent="0.3">
      <c r="A80" s="44" t="s">
        <v>46</v>
      </c>
      <c r="B80" s="24" t="s">
        <v>81</v>
      </c>
      <c r="C80" s="357"/>
      <c r="D80" s="358"/>
      <c r="E80" s="29"/>
      <c r="F80" s="193"/>
      <c r="G80" s="259"/>
    </row>
    <row r="81" spans="1:7" ht="13.5" thickBot="1" x14ac:dyDescent="0.25">
      <c r="F81" s="250"/>
      <c r="G81" s="190"/>
    </row>
    <row r="82" spans="1:7" s="15" customFormat="1" ht="18.75" thickBot="1" x14ac:dyDescent="0.3">
      <c r="A82" s="362" t="s">
        <v>168</v>
      </c>
      <c r="B82" s="363"/>
      <c r="C82" s="363"/>
      <c r="D82" s="364"/>
      <c r="E82" s="32"/>
      <c r="F82" s="408" t="s">
        <v>392</v>
      </c>
      <c r="G82" s="409"/>
    </row>
    <row r="83" spans="1:7" s="3" customFormat="1" ht="15" customHeight="1" thickBot="1" x14ac:dyDescent="0.3">
      <c r="A83" s="371" t="s">
        <v>169</v>
      </c>
      <c r="B83" s="372"/>
      <c r="C83" s="372"/>
      <c r="D83" s="373"/>
      <c r="E83" s="33"/>
      <c r="F83" s="246" t="s">
        <v>19</v>
      </c>
      <c r="G83" s="246" t="s">
        <v>432</v>
      </c>
    </row>
    <row r="84" spans="1:7" s="12" customFormat="1" x14ac:dyDescent="0.25">
      <c r="A84" s="374" t="s">
        <v>83</v>
      </c>
      <c r="B84" s="375"/>
      <c r="C84" s="375"/>
      <c r="D84" s="376"/>
      <c r="E84" s="29"/>
      <c r="F84" s="251">
        <f>-1010*('PPI Adj'!D6)</f>
        <v>-1178.67</v>
      </c>
      <c r="G84" s="251">
        <f>-1010*('PPI Adj'!D6)</f>
        <v>-1178.67</v>
      </c>
    </row>
    <row r="85" spans="1:7" s="12" customFormat="1" x14ac:dyDescent="0.25">
      <c r="A85" s="377" t="s">
        <v>34</v>
      </c>
      <c r="B85" s="378"/>
      <c r="C85" s="378"/>
      <c r="D85" s="379"/>
      <c r="E85" s="28"/>
      <c r="F85" s="252">
        <f>947*('PPI Adj'!D6)</f>
        <v>1105.1490000000001</v>
      </c>
      <c r="G85" s="252">
        <f>947*('PPI Adj'!D6)</f>
        <v>1105.1490000000001</v>
      </c>
    </row>
    <row r="86" spans="1:7" s="12" customFormat="1" x14ac:dyDescent="0.25">
      <c r="A86" s="377" t="s">
        <v>35</v>
      </c>
      <c r="B86" s="378"/>
      <c r="C86" s="378"/>
      <c r="D86" s="379"/>
      <c r="E86" s="29"/>
      <c r="F86" s="252">
        <f>452*('PPI Adj'!D6)</f>
        <v>527.48400000000004</v>
      </c>
      <c r="G86" s="252">
        <f>452*('PPI Adj'!D6)</f>
        <v>527.48400000000004</v>
      </c>
    </row>
    <row r="87" spans="1:7" s="12" customFormat="1" x14ac:dyDescent="0.25">
      <c r="A87" s="377" t="s">
        <v>36</v>
      </c>
      <c r="B87" s="378"/>
      <c r="C87" s="378"/>
      <c r="D87" s="379"/>
      <c r="E87" s="28"/>
      <c r="F87" s="252">
        <f>477.6*('PPI Adj'!D6)</f>
        <v>557.3592000000001</v>
      </c>
      <c r="G87" s="252">
        <f>477.6*('PPI Adj'!D6)</f>
        <v>557.3592000000001</v>
      </c>
    </row>
    <row r="88" spans="1:7" s="12" customFormat="1" x14ac:dyDescent="0.25">
      <c r="A88" s="377" t="s">
        <v>60</v>
      </c>
      <c r="B88" s="378"/>
      <c r="C88" s="378"/>
      <c r="D88" s="379"/>
      <c r="E88" s="28"/>
      <c r="F88" s="252">
        <f>86*('PPI Adj'!D6)</f>
        <v>100.36200000000001</v>
      </c>
      <c r="G88" s="252">
        <f>86*('PPI Adj'!D6)</f>
        <v>100.36200000000001</v>
      </c>
    </row>
    <row r="89" spans="1:7" s="12" customFormat="1" x14ac:dyDescent="0.25">
      <c r="A89" s="377" t="s">
        <v>61</v>
      </c>
      <c r="B89" s="378"/>
      <c r="C89" s="378"/>
      <c r="D89" s="379"/>
      <c r="E89" s="28"/>
      <c r="F89" s="252">
        <f>1419*('PPI Adj'!D6)</f>
        <v>1655.973</v>
      </c>
      <c r="G89" s="252">
        <f>1419*('PPI Adj'!D6)</f>
        <v>1655.973</v>
      </c>
    </row>
    <row r="90" spans="1:7" s="12" customFormat="1" x14ac:dyDescent="0.25">
      <c r="A90" s="377" t="s">
        <v>86</v>
      </c>
      <c r="B90" s="378"/>
      <c r="C90" s="378"/>
      <c r="D90" s="379"/>
      <c r="E90" s="28"/>
      <c r="F90" s="252">
        <f>856*('PPI Adj'!D6)</f>
        <v>998.952</v>
      </c>
      <c r="G90" s="252">
        <f>856*('PPI Adj'!D6)</f>
        <v>998.952</v>
      </c>
    </row>
    <row r="91" spans="1:7" x14ac:dyDescent="0.2">
      <c r="A91" s="377" t="s">
        <v>85</v>
      </c>
      <c r="B91" s="378"/>
      <c r="C91" s="378"/>
      <c r="D91" s="379"/>
      <c r="E91" s="28"/>
      <c r="F91" s="252">
        <f>8686*('PPI Adj'!D6)</f>
        <v>10136.562</v>
      </c>
      <c r="G91" s="252">
        <f>8686*('PPI Adj'!D6)</f>
        <v>10136.562</v>
      </c>
    </row>
    <row r="92" spans="1:7" x14ac:dyDescent="0.2">
      <c r="A92" s="377" t="s">
        <v>13</v>
      </c>
      <c r="B92" s="378"/>
      <c r="C92" s="378"/>
      <c r="D92" s="379"/>
      <c r="E92" s="28"/>
      <c r="F92" s="252">
        <f>10801*('PPI Adj'!D6)</f>
        <v>12604.767</v>
      </c>
      <c r="G92" s="252">
        <f>10801*('PPI Adj'!D6)</f>
        <v>12604.767</v>
      </c>
    </row>
    <row r="93" spans="1:7" x14ac:dyDescent="0.2">
      <c r="A93" s="377" t="s">
        <v>37</v>
      </c>
      <c r="B93" s="378"/>
      <c r="C93" s="378"/>
      <c r="D93" s="379"/>
      <c r="E93" s="29"/>
      <c r="F93" s="252">
        <f>595*('PPI Adj'!D6)</f>
        <v>694.36500000000001</v>
      </c>
      <c r="G93" s="252">
        <f>595*('PPI Adj'!D6)</f>
        <v>694.36500000000001</v>
      </c>
    </row>
    <row r="94" spans="1:7" x14ac:dyDescent="0.2">
      <c r="A94" s="377" t="s">
        <v>38</v>
      </c>
      <c r="B94" s="378"/>
      <c r="C94" s="378"/>
      <c r="D94" s="379"/>
      <c r="E94" s="29"/>
      <c r="F94" s="252">
        <f>583*('PPI Adj'!D6)</f>
        <v>680.36099999999999</v>
      </c>
      <c r="G94" s="252">
        <f>583*('PPI Adj'!D6)</f>
        <v>680.36099999999999</v>
      </c>
    </row>
    <row r="95" spans="1:7" x14ac:dyDescent="0.2">
      <c r="A95" s="377" t="s">
        <v>201</v>
      </c>
      <c r="B95" s="378"/>
      <c r="C95" s="378"/>
      <c r="D95" s="379"/>
      <c r="E95" s="29"/>
      <c r="F95" s="252" t="s">
        <v>183</v>
      </c>
      <c r="G95" s="252" t="s">
        <v>183</v>
      </c>
    </row>
    <row r="96" spans="1:7" x14ac:dyDescent="0.2">
      <c r="A96" s="377" t="s">
        <v>39</v>
      </c>
      <c r="B96" s="378"/>
      <c r="C96" s="378"/>
      <c r="D96" s="379"/>
      <c r="E96" s="28"/>
      <c r="F96" s="252">
        <f>472*('PPI Adj'!D6)</f>
        <v>550.82400000000007</v>
      </c>
      <c r="G96" s="252">
        <f>472*('PPI Adj'!D6)</f>
        <v>550.82400000000007</v>
      </c>
    </row>
    <row r="97" spans="1:7" x14ac:dyDescent="0.2">
      <c r="A97" s="377" t="s">
        <v>88</v>
      </c>
      <c r="B97" s="378"/>
      <c r="C97" s="378"/>
      <c r="D97" s="379"/>
      <c r="E97" s="28"/>
      <c r="F97" s="252">
        <f>4245*('PPI Adj'!D6)</f>
        <v>4953.915</v>
      </c>
      <c r="G97" s="252">
        <f>4245*('PPI Adj'!D6)</f>
        <v>4953.915</v>
      </c>
    </row>
    <row r="98" spans="1:7" x14ac:dyDescent="0.2">
      <c r="A98" s="377" t="s">
        <v>40</v>
      </c>
      <c r="B98" s="378"/>
      <c r="C98" s="378"/>
      <c r="D98" s="379"/>
      <c r="E98" s="28"/>
      <c r="F98" s="252">
        <f>329*('PPI Adj'!D6)</f>
        <v>383.94300000000004</v>
      </c>
      <c r="G98" s="252">
        <f>329*('PPI Adj'!D6)</f>
        <v>383.94300000000004</v>
      </c>
    </row>
    <row r="99" spans="1:7" x14ac:dyDescent="0.2">
      <c r="A99" s="377" t="s">
        <v>14</v>
      </c>
      <c r="B99" s="378"/>
      <c r="C99" s="378"/>
      <c r="D99" s="379"/>
      <c r="E99" s="28"/>
      <c r="F99" s="252">
        <f>12210*('PPI Adj'!D6)</f>
        <v>14249.07</v>
      </c>
      <c r="G99" s="252">
        <f>12210*('PPI Adj'!D6)</f>
        <v>14249.07</v>
      </c>
    </row>
    <row r="100" spans="1:7" x14ac:dyDescent="0.2">
      <c r="A100" s="377" t="s">
        <v>91</v>
      </c>
      <c r="B100" s="378"/>
      <c r="C100" s="378"/>
      <c r="D100" s="379"/>
      <c r="E100" s="28"/>
      <c r="F100" s="252">
        <f>1971*('PPI Adj'!D6)</f>
        <v>2300.1570000000002</v>
      </c>
      <c r="G100" s="252">
        <f>1971*('PPI Adj'!D6)</f>
        <v>2300.1570000000002</v>
      </c>
    </row>
    <row r="101" spans="1:7" x14ac:dyDescent="0.2">
      <c r="A101" s="383" t="s">
        <v>272</v>
      </c>
      <c r="B101" s="384"/>
      <c r="C101" s="384"/>
      <c r="D101" s="385"/>
      <c r="E101" s="28"/>
      <c r="F101" s="253">
        <f>-1775*('PPI Adj'!D6)</f>
        <v>-2071.4250000000002</v>
      </c>
      <c r="G101" s="253">
        <f>-1775*('PPI Adj'!D6)</f>
        <v>-2071.4250000000002</v>
      </c>
    </row>
    <row r="102" spans="1:7" ht="13.5" thickBot="1" x14ac:dyDescent="0.25">
      <c r="A102" s="380" t="s">
        <v>92</v>
      </c>
      <c r="B102" s="381"/>
      <c r="C102" s="381"/>
      <c r="D102" s="382"/>
      <c r="E102" s="29"/>
      <c r="F102" s="254">
        <f>2023*('PPI Adj'!D6)</f>
        <v>2360.8409999999999</v>
      </c>
      <c r="G102" s="254">
        <f>2023*('PPI Adj'!D6)</f>
        <v>2360.8409999999999</v>
      </c>
    </row>
    <row r="103" spans="1:7" ht="13.5" thickBot="1" x14ac:dyDescent="0.25">
      <c r="F103" s="250"/>
      <c r="G103" s="190"/>
    </row>
    <row r="104" spans="1:7" s="15" customFormat="1" ht="18.75" thickBot="1" x14ac:dyDescent="0.3">
      <c r="A104" s="362" t="s">
        <v>166</v>
      </c>
      <c r="B104" s="363"/>
      <c r="C104" s="363"/>
      <c r="D104" s="364"/>
      <c r="E104" s="32"/>
      <c r="F104" s="408" t="s">
        <v>392</v>
      </c>
      <c r="G104" s="409"/>
    </row>
    <row r="105" spans="1:7" s="3" customFormat="1" ht="15" customHeight="1" thickBot="1" x14ac:dyDescent="0.3">
      <c r="A105" s="46" t="s">
        <v>33</v>
      </c>
      <c r="B105" s="18" t="s">
        <v>7</v>
      </c>
      <c r="C105" s="386" t="s">
        <v>165</v>
      </c>
      <c r="D105" s="387"/>
      <c r="E105" s="33"/>
      <c r="F105" s="246" t="s">
        <v>19</v>
      </c>
      <c r="G105" s="246" t="s">
        <v>432</v>
      </c>
    </row>
    <row r="106" spans="1:7" s="12" customFormat="1" ht="41.1" customHeight="1" thickBot="1" x14ac:dyDescent="0.3">
      <c r="A106" s="47" t="s">
        <v>83</v>
      </c>
      <c r="B106" s="17" t="s">
        <v>146</v>
      </c>
      <c r="C106" s="388"/>
      <c r="D106" s="389"/>
      <c r="E106" s="29"/>
      <c r="F106" s="193"/>
      <c r="G106" s="193"/>
    </row>
    <row r="107" spans="1:7" s="12" customFormat="1" ht="26.25" thickBot="1" x14ac:dyDescent="0.3">
      <c r="A107" s="44" t="s">
        <v>34</v>
      </c>
      <c r="B107" s="24" t="s">
        <v>107</v>
      </c>
      <c r="C107" s="369" t="s">
        <v>30</v>
      </c>
      <c r="D107" s="370"/>
      <c r="E107" s="28"/>
      <c r="F107" s="193" t="s">
        <v>352</v>
      </c>
      <c r="G107" s="193" t="s">
        <v>352</v>
      </c>
    </row>
    <row r="108" spans="1:7" s="12" customFormat="1" ht="51.95" customHeight="1" thickBot="1" x14ac:dyDescent="0.3">
      <c r="A108" s="44" t="s">
        <v>35</v>
      </c>
      <c r="B108" s="24" t="s">
        <v>97</v>
      </c>
      <c r="C108" s="357"/>
      <c r="D108" s="358"/>
      <c r="E108" s="29"/>
      <c r="F108" s="193"/>
      <c r="G108" s="193"/>
    </row>
    <row r="109" spans="1:7" s="12" customFormat="1" ht="26.25" thickBot="1" x14ac:dyDescent="0.3">
      <c r="A109" s="44" t="s">
        <v>36</v>
      </c>
      <c r="B109" s="24" t="s">
        <v>84</v>
      </c>
      <c r="C109" s="369" t="s">
        <v>99</v>
      </c>
      <c r="D109" s="370"/>
      <c r="E109" s="28"/>
      <c r="F109" s="193" t="s">
        <v>413</v>
      </c>
      <c r="G109" s="193" t="s">
        <v>413</v>
      </c>
    </row>
    <row r="110" spans="1:7" s="12" customFormat="1" ht="12.75" customHeight="1" x14ac:dyDescent="0.25">
      <c r="A110" s="343" t="s">
        <v>60</v>
      </c>
      <c r="B110" s="345" t="s">
        <v>133</v>
      </c>
      <c r="C110" s="347" t="s">
        <v>203</v>
      </c>
      <c r="D110" s="348"/>
      <c r="E110" s="28"/>
      <c r="F110" s="192" t="s">
        <v>401</v>
      </c>
      <c r="G110" s="192" t="s">
        <v>401</v>
      </c>
    </row>
    <row r="111" spans="1:7" s="12" customFormat="1" x14ac:dyDescent="0.25">
      <c r="A111" s="351"/>
      <c r="B111" s="352"/>
      <c r="C111" s="353" t="s">
        <v>202</v>
      </c>
      <c r="D111" s="354"/>
      <c r="E111" s="28"/>
      <c r="F111" s="180">
        <v>5675</v>
      </c>
      <c r="G111" s="180">
        <v>5675</v>
      </c>
    </row>
    <row r="112" spans="1:7" s="12" customFormat="1" x14ac:dyDescent="0.25">
      <c r="A112" s="351"/>
      <c r="B112" s="352"/>
      <c r="C112" s="353" t="s">
        <v>114</v>
      </c>
      <c r="D112" s="354"/>
      <c r="E112" s="28"/>
      <c r="F112" s="180" t="s">
        <v>414</v>
      </c>
      <c r="G112" s="180" t="s">
        <v>414</v>
      </c>
    </row>
    <row r="113" spans="1:7" s="12" customFormat="1" ht="30.75" customHeight="1" thickBot="1" x14ac:dyDescent="0.3">
      <c r="A113" s="344"/>
      <c r="B113" s="346"/>
      <c r="C113" s="341" t="s">
        <v>115</v>
      </c>
      <c r="D113" s="342"/>
      <c r="E113" s="28"/>
      <c r="F113" s="184" t="s">
        <v>415</v>
      </c>
      <c r="G113" s="184" t="s">
        <v>415</v>
      </c>
    </row>
    <row r="114" spans="1:7" s="12" customFormat="1" ht="12.75" customHeight="1" x14ac:dyDescent="0.25">
      <c r="A114" s="343" t="s">
        <v>61</v>
      </c>
      <c r="B114" s="345" t="s">
        <v>206</v>
      </c>
      <c r="C114" s="347" t="s">
        <v>205</v>
      </c>
      <c r="D114" s="348"/>
      <c r="E114" s="28"/>
      <c r="F114" s="192" t="s">
        <v>416</v>
      </c>
      <c r="G114" s="192" t="s">
        <v>416</v>
      </c>
    </row>
    <row r="115" spans="1:7" s="12" customFormat="1" x14ac:dyDescent="0.25">
      <c r="A115" s="351"/>
      <c r="B115" s="352"/>
      <c r="C115" s="353" t="s">
        <v>204</v>
      </c>
      <c r="D115" s="354"/>
      <c r="E115" s="28"/>
      <c r="F115" s="209">
        <v>6610</v>
      </c>
      <c r="G115" s="209">
        <v>6610</v>
      </c>
    </row>
    <row r="116" spans="1:7" s="12" customFormat="1" x14ac:dyDescent="0.25">
      <c r="A116" s="351"/>
      <c r="B116" s="352"/>
      <c r="C116" s="353" t="s">
        <v>203</v>
      </c>
      <c r="D116" s="354"/>
      <c r="E116" s="28"/>
      <c r="F116" s="209" t="s">
        <v>416</v>
      </c>
      <c r="G116" s="209" t="s">
        <v>416</v>
      </c>
    </row>
    <row r="117" spans="1:7" s="12" customFormat="1" x14ac:dyDescent="0.25">
      <c r="A117" s="351"/>
      <c r="B117" s="352"/>
      <c r="C117" s="353" t="s">
        <v>202</v>
      </c>
      <c r="D117" s="354"/>
      <c r="E117" s="28"/>
      <c r="F117" s="180">
        <v>6005</v>
      </c>
      <c r="G117" s="180">
        <v>6005</v>
      </c>
    </row>
    <row r="118" spans="1:7" s="12" customFormat="1" x14ac:dyDescent="0.25">
      <c r="A118" s="351"/>
      <c r="B118" s="352"/>
      <c r="C118" s="353" t="s">
        <v>112</v>
      </c>
      <c r="D118" s="354"/>
      <c r="E118" s="28"/>
      <c r="F118" s="180" t="s">
        <v>417</v>
      </c>
      <c r="G118" s="180" t="s">
        <v>417</v>
      </c>
    </row>
    <row r="119" spans="1:7" s="12" customFormat="1" x14ac:dyDescent="0.25">
      <c r="A119" s="351"/>
      <c r="B119" s="352"/>
      <c r="C119" s="353" t="s">
        <v>113</v>
      </c>
      <c r="D119" s="354"/>
      <c r="E119" s="28"/>
      <c r="F119" s="209" t="s">
        <v>418</v>
      </c>
      <c r="G119" s="209" t="s">
        <v>418</v>
      </c>
    </row>
    <row r="120" spans="1:7" s="12" customFormat="1" x14ac:dyDescent="0.25">
      <c r="A120" s="351"/>
      <c r="B120" s="352"/>
      <c r="C120" s="353" t="s">
        <v>114</v>
      </c>
      <c r="D120" s="354"/>
      <c r="E120" s="28"/>
      <c r="F120" s="209" t="s">
        <v>419</v>
      </c>
      <c r="G120" s="209" t="s">
        <v>419</v>
      </c>
    </row>
    <row r="121" spans="1:7" s="12" customFormat="1" ht="13.5" thickBot="1" x14ac:dyDescent="0.3">
      <c r="A121" s="344"/>
      <c r="B121" s="346"/>
      <c r="C121" s="341" t="s">
        <v>115</v>
      </c>
      <c r="D121" s="342"/>
      <c r="E121" s="28"/>
      <c r="F121" s="184" t="s">
        <v>418</v>
      </c>
      <c r="G121" s="184" t="s">
        <v>418</v>
      </c>
    </row>
    <row r="122" spans="1:7" s="12" customFormat="1" ht="143.44999999999999" customHeight="1" thickBot="1" x14ac:dyDescent="0.3">
      <c r="A122" s="48" t="s">
        <v>86</v>
      </c>
      <c r="B122" s="16" t="s">
        <v>143</v>
      </c>
      <c r="C122" s="369" t="s">
        <v>104</v>
      </c>
      <c r="D122" s="370"/>
      <c r="E122" s="28"/>
      <c r="F122" s="192" t="s">
        <v>420</v>
      </c>
      <c r="G122" s="192" t="s">
        <v>420</v>
      </c>
    </row>
    <row r="123" spans="1:7" ht="167.1" customHeight="1" thickBot="1" x14ac:dyDescent="0.25">
      <c r="A123" s="44" t="s">
        <v>85</v>
      </c>
      <c r="B123" s="13" t="s">
        <v>170</v>
      </c>
      <c r="C123" s="369" t="s">
        <v>104</v>
      </c>
      <c r="D123" s="370"/>
      <c r="E123" s="28"/>
      <c r="F123" s="193" t="s">
        <v>421</v>
      </c>
      <c r="G123" s="193" t="s">
        <v>421</v>
      </c>
    </row>
    <row r="124" spans="1:7" x14ac:dyDescent="0.2">
      <c r="A124" s="343" t="s">
        <v>13</v>
      </c>
      <c r="B124" s="345" t="s">
        <v>98</v>
      </c>
      <c r="C124" s="347" t="s">
        <v>30</v>
      </c>
      <c r="D124" s="348"/>
      <c r="E124" s="28"/>
      <c r="F124" s="192" t="s">
        <v>422</v>
      </c>
      <c r="G124" s="192" t="s">
        <v>422</v>
      </c>
    </row>
    <row r="125" spans="1:7" ht="29.45" customHeight="1" thickBot="1" x14ac:dyDescent="0.25">
      <c r="A125" s="344"/>
      <c r="B125" s="346"/>
      <c r="C125" s="341" t="s">
        <v>109</v>
      </c>
      <c r="D125" s="342"/>
      <c r="E125" s="28"/>
      <c r="F125" s="184" t="s">
        <v>362</v>
      </c>
      <c r="G125" s="184" t="s">
        <v>362</v>
      </c>
    </row>
    <row r="126" spans="1:7" ht="65.45" customHeight="1" thickBot="1" x14ac:dyDescent="0.25">
      <c r="A126" s="44" t="s">
        <v>37</v>
      </c>
      <c r="B126" s="24" t="s">
        <v>135</v>
      </c>
      <c r="C126" s="357"/>
      <c r="D126" s="358"/>
      <c r="E126" s="29"/>
      <c r="F126" s="193" t="s">
        <v>378</v>
      </c>
      <c r="G126" s="193" t="s">
        <v>378</v>
      </c>
    </row>
    <row r="127" spans="1:7" ht="41.1" customHeight="1" thickBot="1" x14ac:dyDescent="0.25">
      <c r="A127" s="44" t="s">
        <v>38</v>
      </c>
      <c r="B127" s="24" t="s">
        <v>87</v>
      </c>
      <c r="C127" s="357"/>
      <c r="D127" s="358"/>
      <c r="E127" s="29"/>
      <c r="F127" s="193"/>
      <c r="G127" s="193"/>
    </row>
    <row r="128" spans="1:7" ht="15.95" customHeight="1" thickBot="1" x14ac:dyDescent="0.25">
      <c r="A128" s="44" t="s">
        <v>201</v>
      </c>
      <c r="B128" s="24" t="s">
        <v>200</v>
      </c>
      <c r="C128" s="369"/>
      <c r="D128" s="370"/>
      <c r="E128" s="28"/>
      <c r="F128" s="193"/>
      <c r="G128" s="193"/>
    </row>
    <row r="129" spans="1:7" ht="27" customHeight="1" thickBot="1" x14ac:dyDescent="0.25">
      <c r="A129" s="44" t="s">
        <v>39</v>
      </c>
      <c r="B129" s="24" t="s">
        <v>106</v>
      </c>
      <c r="C129" s="369" t="s">
        <v>105</v>
      </c>
      <c r="D129" s="370"/>
      <c r="E129" s="28"/>
      <c r="F129" s="193" t="s">
        <v>324</v>
      </c>
      <c r="G129" s="193" t="s">
        <v>324</v>
      </c>
    </row>
    <row r="130" spans="1:7" x14ac:dyDescent="0.2">
      <c r="A130" s="343" t="s">
        <v>88</v>
      </c>
      <c r="B130" s="345" t="s">
        <v>148</v>
      </c>
      <c r="C130" s="347" t="s">
        <v>100</v>
      </c>
      <c r="D130" s="348"/>
      <c r="E130" s="28"/>
      <c r="F130" s="192" t="s">
        <v>423</v>
      </c>
      <c r="G130" s="192" t="s">
        <v>423</v>
      </c>
    </row>
    <row r="131" spans="1:7" ht="108" customHeight="1" thickBot="1" x14ac:dyDescent="0.25">
      <c r="A131" s="344"/>
      <c r="B131" s="346"/>
      <c r="C131" s="341" t="s">
        <v>110</v>
      </c>
      <c r="D131" s="342"/>
      <c r="E131" s="28"/>
      <c r="F131" s="255" t="s">
        <v>438</v>
      </c>
      <c r="G131" s="255" t="s">
        <v>438</v>
      </c>
    </row>
    <row r="132" spans="1:7" ht="28.5" customHeight="1" thickBot="1" x14ac:dyDescent="0.25">
      <c r="A132" s="44" t="s">
        <v>40</v>
      </c>
      <c r="B132" s="24" t="s">
        <v>137</v>
      </c>
      <c r="C132" s="369" t="s">
        <v>100</v>
      </c>
      <c r="D132" s="370"/>
      <c r="E132" s="28"/>
      <c r="F132" s="184" t="s">
        <v>363</v>
      </c>
      <c r="G132" s="184" t="s">
        <v>363</v>
      </c>
    </row>
    <row r="133" spans="1:7" ht="51.95" customHeight="1" thickBot="1" x14ac:dyDescent="0.25">
      <c r="A133" s="44" t="s">
        <v>14</v>
      </c>
      <c r="B133" s="24" t="s">
        <v>138</v>
      </c>
      <c r="C133" s="369" t="s">
        <v>139</v>
      </c>
      <c r="D133" s="370"/>
      <c r="E133" s="28"/>
      <c r="F133" s="193">
        <v>2</v>
      </c>
      <c r="G133" s="193">
        <v>2</v>
      </c>
    </row>
    <row r="134" spans="1:7" ht="67.5" customHeight="1" thickBot="1" x14ac:dyDescent="0.25">
      <c r="A134" s="44" t="s">
        <v>91</v>
      </c>
      <c r="B134" s="24" t="s">
        <v>144</v>
      </c>
      <c r="C134" s="369" t="s">
        <v>100</v>
      </c>
      <c r="D134" s="370"/>
      <c r="E134" s="28"/>
      <c r="F134" s="193" t="s">
        <v>364</v>
      </c>
      <c r="G134" s="193" t="s">
        <v>364</v>
      </c>
    </row>
    <row r="135" spans="1:7" ht="68.45" customHeight="1" thickBot="1" x14ac:dyDescent="0.25">
      <c r="A135" s="44" t="s">
        <v>92</v>
      </c>
      <c r="B135" s="24" t="s">
        <v>145</v>
      </c>
      <c r="C135" s="357"/>
      <c r="D135" s="358"/>
      <c r="E135" s="29"/>
      <c r="F135" s="193"/>
      <c r="G135" s="193"/>
    </row>
  </sheetData>
  <sheetProtection algorithmName="SHA-512" hashValue="Dq3m1o3nhudiBZqTRN5rNm/Cma3tRlM570SjLmus59WF7iMiU8bh+K3ThNq6rY5VjIFHaDR6lXtPZKcdTgflzw==" saltValue="++UriThv6mZzpzzPCdLmpg==" spinCount="100000" sheet="1" objects="1" scenarios="1"/>
  <dataConsolidate/>
  <mergeCells count="160">
    <mergeCell ref="F6:G6"/>
    <mergeCell ref="F19:G19"/>
    <mergeCell ref="F24:G24"/>
    <mergeCell ref="F82:G82"/>
    <mergeCell ref="F104:G104"/>
    <mergeCell ref="A130:A131"/>
    <mergeCell ref="B130:B131"/>
    <mergeCell ref="C130:D130"/>
    <mergeCell ref="C131:D131"/>
    <mergeCell ref="C121:D121"/>
    <mergeCell ref="A124:A125"/>
    <mergeCell ref="B124:B125"/>
    <mergeCell ref="A114:A121"/>
    <mergeCell ref="B114:B121"/>
    <mergeCell ref="C114:D114"/>
    <mergeCell ref="C115:D115"/>
    <mergeCell ref="C116:D116"/>
    <mergeCell ref="A102:D102"/>
    <mergeCell ref="A104:D104"/>
    <mergeCell ref="C105:D105"/>
    <mergeCell ref="C106:D106"/>
    <mergeCell ref="C107:D107"/>
    <mergeCell ref="C122:D122"/>
    <mergeCell ref="C117:D117"/>
    <mergeCell ref="C132:D132"/>
    <mergeCell ref="C133:D133"/>
    <mergeCell ref="C134:D134"/>
    <mergeCell ref="C135:D135"/>
    <mergeCell ref="C126:D126"/>
    <mergeCell ref="C127:D127"/>
    <mergeCell ref="C128:D128"/>
    <mergeCell ref="C129:D129"/>
    <mergeCell ref="C123:D123"/>
    <mergeCell ref="C124:D124"/>
    <mergeCell ref="C125:D125"/>
    <mergeCell ref="C118:D118"/>
    <mergeCell ref="C119:D119"/>
    <mergeCell ref="C120:D120"/>
    <mergeCell ref="C108:D108"/>
    <mergeCell ref="C109:D109"/>
    <mergeCell ref="A110:A113"/>
    <mergeCell ref="B110:B113"/>
    <mergeCell ref="C110:D110"/>
    <mergeCell ref="C111:D111"/>
    <mergeCell ref="C112:D112"/>
    <mergeCell ref="C113:D113"/>
    <mergeCell ref="A98:D98"/>
    <mergeCell ref="A99:D99"/>
    <mergeCell ref="A100:D100"/>
    <mergeCell ref="A84:D84"/>
    <mergeCell ref="A85:D85"/>
    <mergeCell ref="A86:D86"/>
    <mergeCell ref="A87:D87"/>
    <mergeCell ref="A88:D88"/>
    <mergeCell ref="C77:D77"/>
    <mergeCell ref="C78:D78"/>
    <mergeCell ref="C79:D79"/>
    <mergeCell ref="C80:D80"/>
    <mergeCell ref="A82:D82"/>
    <mergeCell ref="A89:D89"/>
    <mergeCell ref="A90:D90"/>
    <mergeCell ref="A91:D91"/>
    <mergeCell ref="A92:D92"/>
    <mergeCell ref="A93:D93"/>
    <mergeCell ref="A94:D94"/>
    <mergeCell ref="A95:D95"/>
    <mergeCell ref="A96:D96"/>
    <mergeCell ref="A97:D97"/>
    <mergeCell ref="C64:D64"/>
    <mergeCell ref="C65:D65"/>
    <mergeCell ref="C66:D66"/>
    <mergeCell ref="C67:D67"/>
    <mergeCell ref="C68:D68"/>
    <mergeCell ref="A83:D83"/>
    <mergeCell ref="C71:D71"/>
    <mergeCell ref="C72:D72"/>
    <mergeCell ref="C73:D73"/>
    <mergeCell ref="C74:D74"/>
    <mergeCell ref="C75:D75"/>
    <mergeCell ref="C76:D76"/>
    <mergeCell ref="A69:A70"/>
    <mergeCell ref="B69:B70"/>
    <mergeCell ref="C69:D69"/>
    <mergeCell ref="C70:D70"/>
    <mergeCell ref="A60:A62"/>
    <mergeCell ref="B60:B62"/>
    <mergeCell ref="C60:D60"/>
    <mergeCell ref="C61:D61"/>
    <mergeCell ref="C62:D62"/>
    <mergeCell ref="C63:D63"/>
    <mergeCell ref="C52:D52"/>
    <mergeCell ref="A53:A55"/>
    <mergeCell ref="B53:B55"/>
    <mergeCell ref="C53:D53"/>
    <mergeCell ref="C54:D54"/>
    <mergeCell ref="C55:D55"/>
    <mergeCell ref="C56:D56"/>
    <mergeCell ref="C57:D57"/>
    <mergeCell ref="A58:A59"/>
    <mergeCell ref="B58:B59"/>
    <mergeCell ref="C58:D58"/>
    <mergeCell ref="C59:D59"/>
    <mergeCell ref="C44:D44"/>
    <mergeCell ref="A45:A52"/>
    <mergeCell ref="B45:B52"/>
    <mergeCell ref="C45:D45"/>
    <mergeCell ref="C46:D46"/>
    <mergeCell ref="C47:D47"/>
    <mergeCell ref="C48:D48"/>
    <mergeCell ref="C49:D49"/>
    <mergeCell ref="C50:D50"/>
    <mergeCell ref="C51:D51"/>
    <mergeCell ref="A19:D19"/>
    <mergeCell ref="C33:D33"/>
    <mergeCell ref="C34:D34"/>
    <mergeCell ref="A38:A39"/>
    <mergeCell ref="B38:B39"/>
    <mergeCell ref="C38:D38"/>
    <mergeCell ref="C39:D39"/>
    <mergeCell ref="C40:D40"/>
    <mergeCell ref="B41:B43"/>
    <mergeCell ref="C41:D41"/>
    <mergeCell ref="C42:D42"/>
    <mergeCell ref="C43:D43"/>
    <mergeCell ref="A41:A43"/>
    <mergeCell ref="A24:D24"/>
    <mergeCell ref="C25:D25"/>
    <mergeCell ref="C26:D26"/>
    <mergeCell ref="C27:D27"/>
    <mergeCell ref="C28:D28"/>
    <mergeCell ref="C29:D29"/>
    <mergeCell ref="A30:A34"/>
    <mergeCell ref="B30:B34"/>
    <mergeCell ref="C30:D30"/>
    <mergeCell ref="C31:D31"/>
    <mergeCell ref="C32:D32"/>
    <mergeCell ref="A3:D3"/>
    <mergeCell ref="A4:D4"/>
    <mergeCell ref="A5:F5"/>
    <mergeCell ref="A6:D6"/>
    <mergeCell ref="B8:D8"/>
    <mergeCell ref="A101:D101"/>
    <mergeCell ref="B13:D13"/>
    <mergeCell ref="B14:D14"/>
    <mergeCell ref="B15:D15"/>
    <mergeCell ref="B16:D16"/>
    <mergeCell ref="B17:D17"/>
    <mergeCell ref="B9:D9"/>
    <mergeCell ref="B10:D10"/>
    <mergeCell ref="B11:D11"/>
    <mergeCell ref="B12:D12"/>
    <mergeCell ref="C35:D35"/>
    <mergeCell ref="A36:A37"/>
    <mergeCell ref="B36:B37"/>
    <mergeCell ref="C36:D36"/>
    <mergeCell ref="C37:D37"/>
    <mergeCell ref="A27:A28"/>
    <mergeCell ref="B27:B28"/>
    <mergeCell ref="B21:D21"/>
    <mergeCell ref="B22:D22"/>
  </mergeCells>
  <conditionalFormatting sqref="C56 C65">
    <cfRule type="expression" dxfId="97" priority="227">
      <formula>#REF!="NO"</formula>
    </cfRule>
  </conditionalFormatting>
  <conditionalFormatting sqref="C41:D43">
    <cfRule type="expression" dxfId="96" priority="214">
      <formula>$F$2="NO"</formula>
    </cfRule>
  </conditionalFormatting>
  <conditionalFormatting sqref="C26:E40">
    <cfRule type="expression" dxfId="95" priority="216">
      <formula>#REF!="NO"</formula>
    </cfRule>
  </conditionalFormatting>
  <conditionalFormatting sqref="C44:E80">
    <cfRule type="expression" dxfId="94" priority="213">
      <formula>#REF!="NO"</formula>
    </cfRule>
  </conditionalFormatting>
  <conditionalFormatting sqref="C106:G135">
    <cfRule type="expression" dxfId="93" priority="7">
      <formula>#REF!="NO"</formula>
    </cfRule>
  </conditionalFormatting>
  <conditionalFormatting sqref="E41:E43">
    <cfRule type="expression" dxfId="92" priority="215">
      <formula>#REF!="NO"</formula>
    </cfRule>
  </conditionalFormatting>
  <conditionalFormatting sqref="E84:G102">
    <cfRule type="expression" dxfId="91" priority="1">
      <formula>#REF!="NO"</formula>
    </cfRule>
  </conditionalFormatting>
  <conditionalFormatting sqref="F8:F17">
    <cfRule type="expression" dxfId="90" priority="208">
      <formula>#REF!="NO"</formula>
    </cfRule>
  </conditionalFormatting>
  <conditionalFormatting sqref="F26:F80">
    <cfRule type="expression" dxfId="89" priority="192">
      <formula>#REF!="NO"</formula>
    </cfRule>
  </conditionalFormatting>
  <conditionalFormatting sqref="F21:G22">
    <cfRule type="expression" dxfId="88" priority="83">
      <formula>#REF!="NO"</formula>
    </cfRule>
  </conditionalFormatting>
  <conditionalFormatting sqref="G8:G17">
    <cfRule type="expression" dxfId="87" priority="88">
      <formula>$F$2="NO"</formula>
    </cfRule>
  </conditionalFormatting>
  <conditionalFormatting sqref="G21">
    <cfRule type="expression" dxfId="86" priority="86">
      <formula>$F$2="NO"</formula>
    </cfRule>
  </conditionalFormatting>
  <conditionalFormatting sqref="G26:G80">
    <cfRule type="expression" dxfId="85" priority="21">
      <formula>$F$2="NO"</formula>
    </cfRule>
  </conditionalFormatting>
  <conditionalFormatting sqref="G56:G57">
    <cfRule type="expression" dxfId="84" priority="27">
      <formula>#REF!="NO"</formula>
    </cfRule>
  </conditionalFormatting>
  <conditionalFormatting sqref="G65">
    <cfRule type="expression" dxfId="83" priority="32">
      <formula>#REF!="NO"</formula>
    </cfRule>
  </conditionalFormatting>
  <dataValidations count="3">
    <dataValidation type="decimal" allowBlank="1" showInputMessage="1" showErrorMessage="1" error="The Additional Options NYS Discount entered must be greater than 0%, or less than or equal to 100%." sqref="F22:G22" xr:uid="{00000000-0002-0000-0300-000002000000}">
      <formula1>0.01</formula1>
      <formula2>100</formula2>
    </dataValidation>
    <dataValidation type="decimal" allowBlank="1" showInputMessage="1" showErrorMessage="1" error="Invalid Entry - Bidder must enter a value that is greater than $0" sqref="F21:G21" xr:uid="{00000000-0002-0000-0300-000001000000}">
      <formula1>0</formula1>
      <formula2>9E+21</formula2>
    </dataValidation>
    <dataValidation type="decimal" operator="greaterThanOrEqual" allowBlank="1" showInputMessage="1" showErrorMessage="1" error="The Pickup Allowance cannot be a negative number." sqref="F16:G16" xr:uid="{00000000-0002-0000-0300-000000000000}">
      <formula1>0</formula1>
    </dataValidation>
  </dataValidations>
  <pageMargins left="0.25" right="0.25" top="0.5" bottom="0.25" header="0.3" footer="0.3"/>
  <pageSetup scale="81" fitToHeight="0" orientation="landscape" r:id="rId1"/>
  <rowBreaks count="2" manualBreakCount="2">
    <brk id="57" max="6" man="1"/>
    <brk id="123"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6FBAD-339D-4F2D-B589-1DE16CA18319}">
  <sheetPr codeName="Sheet9">
    <tabColor theme="5" tint="0.39997558519241921"/>
    <pageSetUpPr autoPageBreaks="0" fitToPage="1"/>
  </sheetPr>
  <dimension ref="A1:G135"/>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1.28515625" style="250" customWidth="1"/>
    <col min="7" max="7" width="21.28515625" style="177" customWidth="1"/>
    <col min="8" max="16384" width="9.140625" style="2"/>
  </cols>
  <sheetData>
    <row r="1" spans="1:7" ht="18" customHeight="1" x14ac:dyDescent="0.2">
      <c r="A1" s="245" t="str">
        <f>'A (Item 2-G)'!$A$1</f>
        <v>GROUP 40524-23254, SCHOOL BUSES (Statewide)                                                             Attachment 1 - Specifications and Pricing (Revised October 15, 2026)</v>
      </c>
      <c r="F1" s="177"/>
    </row>
    <row r="2" spans="1:7" s="19" customFormat="1" ht="18" customHeight="1" thickBot="1" x14ac:dyDescent="0.3">
      <c r="A2" s="305" t="str">
        <f>'Attachment 1 - Summary'!B2</f>
        <v>PC69862 Matthews Buses, Inc.</v>
      </c>
      <c r="B2" s="20"/>
      <c r="C2" s="20"/>
      <c r="D2" s="20"/>
      <c r="E2" s="20"/>
      <c r="F2" s="273"/>
      <c r="G2" s="273"/>
    </row>
    <row r="3" spans="1:7" ht="24" thickBot="1" x14ac:dyDescent="0.25">
      <c r="A3" s="467" t="s">
        <v>270</v>
      </c>
      <c r="B3" s="468"/>
      <c r="C3" s="468"/>
      <c r="D3" s="469"/>
      <c r="E3" s="8"/>
      <c r="F3" s="274"/>
      <c r="G3" s="274"/>
    </row>
    <row r="4" spans="1:7" ht="51" customHeight="1" thickBot="1" x14ac:dyDescent="0.25">
      <c r="A4" s="329" t="s">
        <v>269</v>
      </c>
      <c r="B4" s="330"/>
      <c r="C4" s="330"/>
      <c r="D4" s="331"/>
      <c r="E4" s="8"/>
      <c r="F4" s="274"/>
      <c r="G4" s="274"/>
    </row>
    <row r="5" spans="1:7" s="4" customFormat="1" ht="11.25" customHeight="1" thickBot="1" x14ac:dyDescent="0.3">
      <c r="A5" s="272"/>
      <c r="B5" s="272"/>
      <c r="C5" s="272"/>
      <c r="D5" s="272"/>
      <c r="E5" s="272"/>
      <c r="F5" s="275"/>
      <c r="G5" s="175"/>
    </row>
    <row r="6" spans="1:7" s="7" customFormat="1" ht="16.5" thickBot="1" x14ac:dyDescent="0.25">
      <c r="A6" s="335" t="s">
        <v>151</v>
      </c>
      <c r="B6" s="336"/>
      <c r="C6" s="336"/>
      <c r="D6" s="337"/>
      <c r="E6" s="30"/>
      <c r="F6" s="408" t="s">
        <v>392</v>
      </c>
      <c r="G6" s="409"/>
    </row>
    <row r="7" spans="1:7" s="4" customFormat="1" ht="15" customHeight="1" thickBot="1" x14ac:dyDescent="0.3">
      <c r="A7" s="35" t="s">
        <v>6</v>
      </c>
      <c r="B7" s="21" t="s">
        <v>165</v>
      </c>
      <c r="C7" s="26"/>
      <c r="D7" s="34"/>
      <c r="E7" s="31"/>
      <c r="F7" s="246" t="s">
        <v>19</v>
      </c>
      <c r="G7" s="246" t="s">
        <v>432</v>
      </c>
    </row>
    <row r="8" spans="1:7" ht="65.25" thickTop="1" thickBot="1" x14ac:dyDescent="0.25">
      <c r="A8" s="36" t="s">
        <v>9</v>
      </c>
      <c r="B8" s="323" t="s">
        <v>152</v>
      </c>
      <c r="C8" s="324"/>
      <c r="D8" s="325"/>
      <c r="E8" s="12"/>
      <c r="F8" s="276" t="s">
        <v>393</v>
      </c>
      <c r="G8" s="277" t="s">
        <v>434</v>
      </c>
    </row>
    <row r="9" spans="1:7" s="7" customFormat="1" ht="44.25" customHeight="1" thickTop="1" thickBot="1" x14ac:dyDescent="0.25">
      <c r="A9" s="36" t="s">
        <v>136</v>
      </c>
      <c r="B9" s="323" t="s">
        <v>191</v>
      </c>
      <c r="C9" s="324"/>
      <c r="D9" s="325"/>
      <c r="E9" s="12"/>
      <c r="F9" s="278" t="s">
        <v>439</v>
      </c>
      <c r="G9" s="279" t="s">
        <v>439</v>
      </c>
    </row>
    <row r="10" spans="1:7" ht="12.75" customHeight="1" thickTop="1" x14ac:dyDescent="0.2">
      <c r="A10" s="37" t="s">
        <v>0</v>
      </c>
      <c r="B10" s="314" t="s">
        <v>154</v>
      </c>
      <c r="C10" s="315"/>
      <c r="D10" s="316"/>
      <c r="E10" s="12"/>
      <c r="F10" s="203" t="s">
        <v>395</v>
      </c>
      <c r="G10" s="260" t="s">
        <v>395</v>
      </c>
    </row>
    <row r="11" spans="1:7" x14ac:dyDescent="0.2">
      <c r="A11" s="37" t="s">
        <v>1</v>
      </c>
      <c r="B11" s="314" t="s">
        <v>153</v>
      </c>
      <c r="C11" s="315"/>
      <c r="D11" s="316"/>
      <c r="E11" s="12"/>
      <c r="F11" s="203" t="s">
        <v>396</v>
      </c>
      <c r="G11" s="260" t="s">
        <v>396</v>
      </c>
    </row>
    <row r="12" spans="1:7" ht="14.1" customHeight="1" thickBot="1" x14ac:dyDescent="0.25">
      <c r="A12" s="38" t="s">
        <v>2</v>
      </c>
      <c r="B12" s="317" t="s">
        <v>155</v>
      </c>
      <c r="C12" s="318"/>
      <c r="D12" s="319"/>
      <c r="E12" s="12"/>
      <c r="F12" s="280" t="s">
        <v>397</v>
      </c>
      <c r="G12" s="281" t="s">
        <v>397</v>
      </c>
    </row>
    <row r="13" spans="1:7" ht="13.5" thickTop="1" x14ac:dyDescent="0.2">
      <c r="A13" s="37" t="s">
        <v>3</v>
      </c>
      <c r="B13" s="314" t="s">
        <v>157</v>
      </c>
      <c r="C13" s="315"/>
      <c r="D13" s="316"/>
      <c r="E13" s="12"/>
      <c r="F13" s="203" t="s">
        <v>337</v>
      </c>
      <c r="G13" s="260" t="s">
        <v>337</v>
      </c>
    </row>
    <row r="14" spans="1:7" x14ac:dyDescent="0.2">
      <c r="A14" s="37" t="s">
        <v>4</v>
      </c>
      <c r="B14" s="314" t="s">
        <v>156</v>
      </c>
      <c r="C14" s="315"/>
      <c r="D14" s="316"/>
      <c r="E14" s="12"/>
      <c r="F14" s="203" t="s">
        <v>398</v>
      </c>
      <c r="G14" s="260" t="s">
        <v>398</v>
      </c>
    </row>
    <row r="15" spans="1:7" ht="15.75" customHeight="1" thickBot="1" x14ac:dyDescent="0.25">
      <c r="A15" s="39" t="s">
        <v>5</v>
      </c>
      <c r="B15" s="317" t="s">
        <v>158</v>
      </c>
      <c r="C15" s="318"/>
      <c r="D15" s="319"/>
      <c r="E15" s="12"/>
      <c r="F15" s="276" t="s">
        <v>435</v>
      </c>
      <c r="G15" s="281" t="s">
        <v>435</v>
      </c>
    </row>
    <row r="16" spans="1:7" ht="29.25" customHeight="1" thickTop="1" x14ac:dyDescent="0.2">
      <c r="A16" s="37" t="s">
        <v>101</v>
      </c>
      <c r="B16" s="320" t="s">
        <v>160</v>
      </c>
      <c r="C16" s="321"/>
      <c r="D16" s="322"/>
      <c r="E16" s="12"/>
      <c r="F16" s="282">
        <v>100</v>
      </c>
      <c r="G16" s="283">
        <v>100</v>
      </c>
    </row>
    <row r="17" spans="1:7" ht="30.75" customHeight="1" thickBot="1" x14ac:dyDescent="0.25">
      <c r="A17" s="39" t="s">
        <v>43</v>
      </c>
      <c r="B17" s="317" t="s">
        <v>159</v>
      </c>
      <c r="C17" s="318"/>
      <c r="D17" s="319"/>
      <c r="E17" s="12"/>
      <c r="F17" s="276" t="s">
        <v>369</v>
      </c>
      <c r="G17" s="277" t="s">
        <v>369</v>
      </c>
    </row>
    <row r="18" spans="1:7" s="9" customFormat="1" ht="14.25" thickTop="1" thickBot="1" x14ac:dyDescent="0.25">
      <c r="C18" s="10"/>
      <c r="D18" s="10"/>
      <c r="E18" s="10"/>
      <c r="F18" s="185"/>
      <c r="G18" s="185"/>
    </row>
    <row r="19" spans="1:7" s="11" customFormat="1" ht="16.5" thickBot="1" x14ac:dyDescent="0.25">
      <c r="A19" s="335" t="s">
        <v>150</v>
      </c>
      <c r="B19" s="336"/>
      <c r="C19" s="336"/>
      <c r="D19" s="337"/>
      <c r="E19" s="30"/>
      <c r="F19" s="408" t="s">
        <v>392</v>
      </c>
      <c r="G19" s="409"/>
    </row>
    <row r="20" spans="1:7" s="4" customFormat="1" ht="15" customHeight="1" thickBot="1" x14ac:dyDescent="0.3">
      <c r="A20" s="49" t="s">
        <v>6</v>
      </c>
      <c r="B20" s="25" t="s">
        <v>165</v>
      </c>
      <c r="C20" s="27"/>
      <c r="D20" s="42"/>
      <c r="E20" s="31"/>
      <c r="F20" s="246" t="s">
        <v>19</v>
      </c>
      <c r="G20" s="246" t="s">
        <v>432</v>
      </c>
    </row>
    <row r="21" spans="1:7" ht="56.25" customHeight="1" x14ac:dyDescent="0.2">
      <c r="A21" s="40" t="s">
        <v>42</v>
      </c>
      <c r="B21" s="338" t="s">
        <v>161</v>
      </c>
      <c r="C21" s="339"/>
      <c r="D21" s="340"/>
      <c r="E21" s="12"/>
      <c r="F21" s="214">
        <f>135322.38*('PPI Adj'!D6)</f>
        <v>157921.21746000001</v>
      </c>
      <c r="G21" s="284">
        <f>176194.92*('PPI Adj'!D6)</f>
        <v>205619.47164000003</v>
      </c>
    </row>
    <row r="22" spans="1:7" ht="33" customHeight="1" thickBot="1" x14ac:dyDescent="0.25">
      <c r="A22" s="41" t="s">
        <v>41</v>
      </c>
      <c r="B22" s="359" t="s">
        <v>163</v>
      </c>
      <c r="C22" s="360"/>
      <c r="D22" s="361"/>
      <c r="E22" s="1"/>
      <c r="F22" s="285">
        <v>20</v>
      </c>
      <c r="G22" s="286">
        <v>20</v>
      </c>
    </row>
    <row r="23" spans="1:7" ht="13.5" thickBot="1" x14ac:dyDescent="0.25">
      <c r="A23" s="52"/>
      <c r="B23" s="1"/>
      <c r="C23" s="1"/>
      <c r="D23" s="1"/>
      <c r="E23" s="1"/>
      <c r="F23" s="249"/>
      <c r="G23" s="287"/>
    </row>
    <row r="24" spans="1:7" s="7" customFormat="1" ht="15.75" customHeight="1" thickBot="1" x14ac:dyDescent="0.25">
      <c r="A24" s="362" t="s">
        <v>164</v>
      </c>
      <c r="B24" s="363"/>
      <c r="C24" s="363"/>
      <c r="D24" s="364"/>
      <c r="E24" s="32"/>
      <c r="F24" s="408" t="s">
        <v>392</v>
      </c>
      <c r="G24" s="409"/>
    </row>
    <row r="25" spans="1:7" s="3" customFormat="1" ht="15" customHeight="1" thickBot="1" x14ac:dyDescent="0.3">
      <c r="A25" s="49" t="s">
        <v>6</v>
      </c>
      <c r="B25" s="50" t="s">
        <v>7</v>
      </c>
      <c r="C25" s="365" t="s">
        <v>165</v>
      </c>
      <c r="D25" s="366"/>
      <c r="E25" s="33"/>
      <c r="F25" s="246" t="s">
        <v>19</v>
      </c>
      <c r="G25" s="246" t="s">
        <v>432</v>
      </c>
    </row>
    <row r="26" spans="1:7" s="12" customFormat="1" ht="79.5" customHeight="1" thickBot="1" x14ac:dyDescent="0.3">
      <c r="A26" s="43" t="s">
        <v>8</v>
      </c>
      <c r="B26" s="23" t="s">
        <v>257</v>
      </c>
      <c r="C26" s="341" t="s">
        <v>118</v>
      </c>
      <c r="D26" s="342"/>
      <c r="E26" s="28"/>
      <c r="F26" s="198">
        <v>29000</v>
      </c>
      <c r="G26" s="258">
        <v>29000</v>
      </c>
    </row>
    <row r="27" spans="1:7" s="12" customFormat="1" x14ac:dyDescent="0.25">
      <c r="A27" s="343" t="s">
        <v>21</v>
      </c>
      <c r="B27" s="345" t="s">
        <v>268</v>
      </c>
      <c r="C27" s="347" t="s">
        <v>67</v>
      </c>
      <c r="D27" s="348"/>
      <c r="E27" s="28"/>
      <c r="F27" s="201">
        <v>11</v>
      </c>
      <c r="G27" s="257">
        <v>11</v>
      </c>
    </row>
    <row r="28" spans="1:7" s="12" customFormat="1" ht="13.5" thickBot="1" x14ac:dyDescent="0.3">
      <c r="A28" s="344"/>
      <c r="B28" s="346"/>
      <c r="C28" s="341" t="s">
        <v>68</v>
      </c>
      <c r="D28" s="342"/>
      <c r="E28" s="28"/>
      <c r="F28" s="198">
        <v>64</v>
      </c>
      <c r="G28" s="258">
        <v>64</v>
      </c>
    </row>
    <row r="29" spans="1:7" s="12" customFormat="1" ht="13.5" thickBot="1" x14ac:dyDescent="0.3">
      <c r="A29" s="44" t="s">
        <v>123</v>
      </c>
      <c r="B29" s="24" t="s">
        <v>108</v>
      </c>
      <c r="C29" s="357"/>
      <c r="D29" s="358"/>
      <c r="E29" s="29"/>
      <c r="F29" s="199"/>
      <c r="G29" s="259"/>
    </row>
    <row r="30" spans="1:7" s="12" customFormat="1" x14ac:dyDescent="0.25">
      <c r="A30" s="343" t="s">
        <v>59</v>
      </c>
      <c r="B30" s="345"/>
      <c r="C30" s="347" t="s">
        <v>58</v>
      </c>
      <c r="D30" s="348"/>
      <c r="E30" s="28"/>
      <c r="F30" s="201">
        <v>238</v>
      </c>
      <c r="G30" s="257">
        <v>238</v>
      </c>
    </row>
    <row r="31" spans="1:7" s="12" customFormat="1" x14ac:dyDescent="0.25">
      <c r="A31" s="351"/>
      <c r="B31" s="352"/>
      <c r="C31" s="353" t="s">
        <v>57</v>
      </c>
      <c r="D31" s="354"/>
      <c r="E31" s="28"/>
      <c r="F31" s="203">
        <v>419.7</v>
      </c>
      <c r="G31" s="260">
        <v>419.7</v>
      </c>
    </row>
    <row r="32" spans="1:7" s="12" customFormat="1" x14ac:dyDescent="0.25">
      <c r="A32" s="351"/>
      <c r="B32" s="352"/>
      <c r="C32" s="353" t="s">
        <v>69</v>
      </c>
      <c r="D32" s="354"/>
      <c r="E32" s="28"/>
      <c r="F32" s="203">
        <v>90</v>
      </c>
      <c r="G32" s="260">
        <v>90</v>
      </c>
    </row>
    <row r="33" spans="1:7" s="12" customFormat="1" x14ac:dyDescent="0.25">
      <c r="A33" s="351"/>
      <c r="B33" s="352"/>
      <c r="C33" s="355" t="s">
        <v>70</v>
      </c>
      <c r="D33" s="356"/>
      <c r="E33" s="28"/>
      <c r="F33" s="203">
        <v>78</v>
      </c>
      <c r="G33" s="260">
        <v>78</v>
      </c>
    </row>
    <row r="34" spans="1:7" s="12" customFormat="1" ht="13.5" thickBot="1" x14ac:dyDescent="0.3">
      <c r="A34" s="344"/>
      <c r="B34" s="346"/>
      <c r="C34" s="341" t="s">
        <v>111</v>
      </c>
      <c r="D34" s="342"/>
      <c r="E34" s="28"/>
      <c r="F34" s="198">
        <v>376</v>
      </c>
      <c r="G34" s="258">
        <v>376</v>
      </c>
    </row>
    <row r="35" spans="1:7" s="12" customFormat="1" ht="15.95" customHeight="1" thickBot="1" x14ac:dyDescent="0.3">
      <c r="A35" s="43" t="s">
        <v>224</v>
      </c>
      <c r="B35" s="24" t="s">
        <v>223</v>
      </c>
      <c r="C35" s="357"/>
      <c r="D35" s="358"/>
      <c r="E35" s="29"/>
      <c r="F35" s="199"/>
      <c r="G35" s="259"/>
    </row>
    <row r="36" spans="1:7" s="12" customFormat="1" x14ac:dyDescent="0.25">
      <c r="A36" s="343" t="s">
        <v>11</v>
      </c>
      <c r="B36" s="345"/>
      <c r="C36" s="347" t="s">
        <v>24</v>
      </c>
      <c r="D36" s="348"/>
      <c r="E36" s="28"/>
      <c r="F36" s="201">
        <v>10000</v>
      </c>
      <c r="G36" s="257">
        <v>10000</v>
      </c>
    </row>
    <row r="37" spans="1:7" s="12" customFormat="1" ht="13.5" thickBot="1" x14ac:dyDescent="0.3">
      <c r="A37" s="344"/>
      <c r="B37" s="346"/>
      <c r="C37" s="341" t="s">
        <v>22</v>
      </c>
      <c r="D37" s="342"/>
      <c r="E37" s="28"/>
      <c r="F37" s="198">
        <v>10000</v>
      </c>
      <c r="G37" s="258">
        <v>10000</v>
      </c>
    </row>
    <row r="38" spans="1:7" s="12" customFormat="1" x14ac:dyDescent="0.25">
      <c r="A38" s="343" t="s">
        <v>16</v>
      </c>
      <c r="B38" s="345"/>
      <c r="C38" s="347" t="s">
        <v>24</v>
      </c>
      <c r="D38" s="348"/>
      <c r="E38" s="28"/>
      <c r="F38" s="201">
        <v>19000</v>
      </c>
      <c r="G38" s="257">
        <v>19000</v>
      </c>
    </row>
    <row r="39" spans="1:7" s="12" customFormat="1" ht="13.5" thickBot="1" x14ac:dyDescent="0.3">
      <c r="A39" s="344"/>
      <c r="B39" s="346"/>
      <c r="C39" s="349" t="s">
        <v>23</v>
      </c>
      <c r="D39" s="350"/>
      <c r="E39" s="28"/>
      <c r="F39" s="198">
        <v>19000</v>
      </c>
      <c r="G39" s="258">
        <v>19000</v>
      </c>
    </row>
    <row r="40" spans="1:7" s="12" customFormat="1" ht="18.600000000000001" customHeight="1" thickBot="1" x14ac:dyDescent="0.3">
      <c r="A40" s="44" t="s">
        <v>52</v>
      </c>
      <c r="B40" s="24" t="s">
        <v>53</v>
      </c>
      <c r="C40" s="357"/>
      <c r="D40" s="358"/>
      <c r="E40" s="29"/>
      <c r="F40" s="199"/>
      <c r="G40" s="259"/>
    </row>
    <row r="41" spans="1:7" s="12" customFormat="1" x14ac:dyDescent="0.25">
      <c r="A41" s="343" t="s">
        <v>219</v>
      </c>
      <c r="B41" s="345" t="s">
        <v>222</v>
      </c>
      <c r="C41" s="347" t="s">
        <v>221</v>
      </c>
      <c r="D41" s="348"/>
      <c r="E41" s="28"/>
      <c r="F41" s="201" t="s">
        <v>427</v>
      </c>
      <c r="G41" s="257" t="s">
        <v>427</v>
      </c>
    </row>
    <row r="42" spans="1:7" s="12" customFormat="1" ht="14.45" customHeight="1" x14ac:dyDescent="0.25">
      <c r="A42" s="351"/>
      <c r="B42" s="352"/>
      <c r="C42" s="353" t="s">
        <v>220</v>
      </c>
      <c r="D42" s="354"/>
      <c r="E42" s="28"/>
      <c r="F42" s="203" t="s">
        <v>428</v>
      </c>
      <c r="G42" s="260" t="s">
        <v>428</v>
      </c>
    </row>
    <row r="43" spans="1:7" s="12" customFormat="1" ht="78.599999999999994" customHeight="1" thickBot="1" x14ac:dyDescent="0.3">
      <c r="A43" s="344"/>
      <c r="B43" s="352"/>
      <c r="C43" s="349"/>
      <c r="D43" s="350"/>
      <c r="E43" s="28"/>
      <c r="F43" s="288"/>
      <c r="G43" s="258"/>
    </row>
    <row r="44" spans="1:7" s="12" customFormat="1" ht="27.95" customHeight="1" thickBot="1" x14ac:dyDescent="0.3">
      <c r="A44" s="43" t="s">
        <v>219</v>
      </c>
      <c r="B44" s="24" t="s">
        <v>218</v>
      </c>
      <c r="C44" s="357"/>
      <c r="D44" s="358"/>
      <c r="E44" s="29"/>
      <c r="F44" s="199"/>
      <c r="G44" s="259"/>
    </row>
    <row r="45" spans="1:7" s="12" customFormat="1" ht="13.5" thickBot="1" x14ac:dyDescent="0.3">
      <c r="A45" s="343" t="s">
        <v>12</v>
      </c>
      <c r="B45" s="368" t="s">
        <v>142</v>
      </c>
      <c r="C45" s="347" t="s">
        <v>174</v>
      </c>
      <c r="D45" s="348"/>
      <c r="E45" s="28"/>
      <c r="F45" s="201" t="s">
        <v>401</v>
      </c>
      <c r="G45" s="257" t="s">
        <v>401</v>
      </c>
    </row>
    <row r="46" spans="1:7" s="12" customFormat="1" ht="13.5" thickBot="1" x14ac:dyDescent="0.3">
      <c r="A46" s="351"/>
      <c r="B46" s="368"/>
      <c r="C46" s="353" t="s">
        <v>175</v>
      </c>
      <c r="D46" s="354"/>
      <c r="E46" s="28"/>
      <c r="F46" s="203">
        <v>5675</v>
      </c>
      <c r="G46" s="260">
        <v>5675</v>
      </c>
    </row>
    <row r="47" spans="1:7" s="12" customFormat="1" ht="13.5" thickBot="1" x14ac:dyDescent="0.3">
      <c r="A47" s="351"/>
      <c r="B47" s="368"/>
      <c r="C47" s="353" t="s">
        <v>176</v>
      </c>
      <c r="D47" s="354"/>
      <c r="E47" s="28"/>
      <c r="F47" s="206" t="s">
        <v>401</v>
      </c>
      <c r="G47" s="264" t="s">
        <v>401</v>
      </c>
    </row>
    <row r="48" spans="1:7" s="12" customFormat="1" ht="13.5" thickBot="1" x14ac:dyDescent="0.3">
      <c r="A48" s="351"/>
      <c r="B48" s="368"/>
      <c r="C48" s="353" t="s">
        <v>177</v>
      </c>
      <c r="D48" s="354"/>
      <c r="E48" s="28"/>
      <c r="F48" s="203">
        <v>5355</v>
      </c>
      <c r="G48" s="260">
        <v>5355</v>
      </c>
    </row>
    <row r="49" spans="1:7" s="12" customFormat="1" ht="13.5" thickBot="1" x14ac:dyDescent="0.3">
      <c r="A49" s="351"/>
      <c r="B49" s="368"/>
      <c r="C49" s="353" t="s">
        <v>112</v>
      </c>
      <c r="D49" s="354"/>
      <c r="E49" s="28"/>
      <c r="F49" s="203" t="s">
        <v>402</v>
      </c>
      <c r="G49" s="260" t="s">
        <v>402</v>
      </c>
    </row>
    <row r="50" spans="1:7" s="12" customFormat="1" ht="13.5" thickBot="1" x14ac:dyDescent="0.3">
      <c r="A50" s="351"/>
      <c r="B50" s="368"/>
      <c r="C50" s="353" t="s">
        <v>113</v>
      </c>
      <c r="D50" s="354"/>
      <c r="E50" s="28"/>
      <c r="F50" s="203" t="s">
        <v>403</v>
      </c>
      <c r="G50" s="260" t="s">
        <v>403</v>
      </c>
    </row>
    <row r="51" spans="1:7" s="12" customFormat="1" ht="13.5" thickBot="1" x14ac:dyDescent="0.3">
      <c r="A51" s="351"/>
      <c r="B51" s="368"/>
      <c r="C51" s="355" t="s">
        <v>114</v>
      </c>
      <c r="D51" s="356"/>
      <c r="E51" s="28"/>
      <c r="F51" s="203" t="s">
        <v>404</v>
      </c>
      <c r="G51" s="260" t="s">
        <v>404</v>
      </c>
    </row>
    <row r="52" spans="1:7" s="12" customFormat="1" ht="15.95" customHeight="1" thickBot="1" x14ac:dyDescent="0.3">
      <c r="A52" s="344"/>
      <c r="B52" s="368"/>
      <c r="C52" s="341" t="s">
        <v>115</v>
      </c>
      <c r="D52" s="342"/>
      <c r="E52" s="28"/>
      <c r="F52" s="198" t="s">
        <v>403</v>
      </c>
      <c r="G52" s="258" t="s">
        <v>403</v>
      </c>
    </row>
    <row r="53" spans="1:7" s="12" customFormat="1" x14ac:dyDescent="0.25">
      <c r="A53" s="343" t="s">
        <v>10</v>
      </c>
      <c r="B53" s="345" t="s">
        <v>217</v>
      </c>
      <c r="C53" s="347" t="s">
        <v>116</v>
      </c>
      <c r="D53" s="348"/>
      <c r="E53" s="28"/>
      <c r="F53" s="201">
        <v>6</v>
      </c>
      <c r="G53" s="257">
        <v>6</v>
      </c>
    </row>
    <row r="54" spans="1:7" s="12" customFormat="1" x14ac:dyDescent="0.25">
      <c r="A54" s="351"/>
      <c r="B54" s="352"/>
      <c r="C54" s="353" t="s">
        <v>117</v>
      </c>
      <c r="D54" s="354"/>
      <c r="E54" s="28"/>
      <c r="F54" s="203" t="s">
        <v>344</v>
      </c>
      <c r="G54" s="260" t="s">
        <v>344</v>
      </c>
    </row>
    <row r="55" spans="1:7" s="12" customFormat="1" ht="13.5" thickBot="1" x14ac:dyDescent="0.3">
      <c r="A55" s="344"/>
      <c r="B55" s="352"/>
      <c r="C55" s="349" t="s">
        <v>71</v>
      </c>
      <c r="D55" s="350"/>
      <c r="E55" s="28"/>
      <c r="F55" s="288" t="s">
        <v>405</v>
      </c>
      <c r="G55" s="262" t="s">
        <v>405</v>
      </c>
    </row>
    <row r="56" spans="1:7" s="12" customFormat="1" ht="78.599999999999994" customHeight="1" thickBot="1" x14ac:dyDescent="0.3">
      <c r="A56" s="45" t="s">
        <v>9</v>
      </c>
      <c r="B56" s="22" t="s">
        <v>254</v>
      </c>
      <c r="C56" s="355"/>
      <c r="D56" s="356"/>
      <c r="E56" s="28"/>
      <c r="F56" s="201"/>
      <c r="G56" s="257"/>
    </row>
    <row r="57" spans="1:7" s="12" customFormat="1" ht="29.45" customHeight="1" thickBot="1" x14ac:dyDescent="0.3">
      <c r="A57" s="45" t="s">
        <v>253</v>
      </c>
      <c r="B57" s="22" t="s">
        <v>252</v>
      </c>
      <c r="C57" s="357"/>
      <c r="D57" s="358"/>
      <c r="E57" s="29"/>
      <c r="F57" s="289"/>
      <c r="G57" s="259"/>
    </row>
    <row r="58" spans="1:7" s="12" customFormat="1" ht="25.5" x14ac:dyDescent="0.25">
      <c r="A58" s="343" t="s">
        <v>25</v>
      </c>
      <c r="B58" s="345" t="s">
        <v>93</v>
      </c>
      <c r="C58" s="347" t="s">
        <v>72</v>
      </c>
      <c r="D58" s="348"/>
      <c r="E58" s="28"/>
      <c r="F58" s="201" t="s">
        <v>406</v>
      </c>
      <c r="G58" s="257" t="s">
        <v>406</v>
      </c>
    </row>
    <row r="59" spans="1:7" s="12" customFormat="1" ht="54" customHeight="1" thickBot="1" x14ac:dyDescent="0.3">
      <c r="A59" s="344"/>
      <c r="B59" s="346"/>
      <c r="C59" s="341" t="s">
        <v>73</v>
      </c>
      <c r="D59" s="342"/>
      <c r="E59" s="28"/>
      <c r="F59" s="198">
        <v>185</v>
      </c>
      <c r="G59" s="258">
        <v>185</v>
      </c>
    </row>
    <row r="60" spans="1:7" s="12" customFormat="1" x14ac:dyDescent="0.25">
      <c r="A60" s="343" t="s">
        <v>26</v>
      </c>
      <c r="B60" s="345" t="s">
        <v>251</v>
      </c>
      <c r="C60" s="347" t="s">
        <v>74</v>
      </c>
      <c r="D60" s="348"/>
      <c r="E60" s="28"/>
      <c r="F60" s="201" t="s">
        <v>407</v>
      </c>
      <c r="G60" s="257" t="s">
        <v>407</v>
      </c>
    </row>
    <row r="61" spans="1:7" s="12" customFormat="1" x14ac:dyDescent="0.25">
      <c r="A61" s="351"/>
      <c r="B61" s="352"/>
      <c r="C61" s="353" t="s">
        <v>75</v>
      </c>
      <c r="D61" s="354"/>
      <c r="E61" s="28"/>
      <c r="F61" s="203">
        <v>3</v>
      </c>
      <c r="G61" s="260">
        <v>3</v>
      </c>
    </row>
    <row r="62" spans="1:7" s="12" customFormat="1" ht="29.1" customHeight="1" thickBot="1" x14ac:dyDescent="0.3">
      <c r="A62" s="344"/>
      <c r="B62" s="346"/>
      <c r="C62" s="341" t="s">
        <v>250</v>
      </c>
      <c r="D62" s="342"/>
      <c r="E62" s="28"/>
      <c r="F62" s="198" t="s">
        <v>408</v>
      </c>
      <c r="G62" s="258" t="s">
        <v>408</v>
      </c>
    </row>
    <row r="63" spans="1:7" s="12" customFormat="1" ht="17.45" customHeight="1" thickBot="1" x14ac:dyDescent="0.3">
      <c r="A63" s="44" t="s">
        <v>44</v>
      </c>
      <c r="B63" s="24" t="s">
        <v>45</v>
      </c>
      <c r="C63" s="357"/>
      <c r="D63" s="358"/>
      <c r="E63" s="29"/>
      <c r="F63" s="289"/>
      <c r="G63" s="265"/>
    </row>
    <row r="64" spans="1:7" s="12" customFormat="1" ht="28.5" customHeight="1" thickBot="1" x14ac:dyDescent="0.3">
      <c r="A64" s="44" t="s">
        <v>44</v>
      </c>
      <c r="B64" s="24" t="s">
        <v>63</v>
      </c>
      <c r="C64" s="357"/>
      <c r="D64" s="358"/>
      <c r="E64" s="29"/>
      <c r="F64" s="289"/>
      <c r="G64" s="265"/>
    </row>
    <row r="65" spans="1:7" s="12" customFormat="1" ht="28.5" customHeight="1" thickBot="1" x14ac:dyDescent="0.3">
      <c r="A65" s="44" t="s">
        <v>44</v>
      </c>
      <c r="B65" s="24" t="s">
        <v>64</v>
      </c>
      <c r="C65" s="357"/>
      <c r="D65" s="358"/>
      <c r="E65" s="29"/>
      <c r="F65" s="289"/>
      <c r="G65" s="265"/>
    </row>
    <row r="66" spans="1:7" s="12" customFormat="1" ht="27.95" customHeight="1" thickBot="1" x14ac:dyDescent="0.3">
      <c r="A66" s="44" t="s">
        <v>50</v>
      </c>
      <c r="B66" s="24" t="s">
        <v>216</v>
      </c>
      <c r="C66" s="357"/>
      <c r="D66" s="358"/>
      <c r="E66" s="29"/>
      <c r="F66" s="289"/>
      <c r="G66" s="265"/>
    </row>
    <row r="67" spans="1:7" s="12" customFormat="1" ht="15.6" customHeight="1" thickBot="1" x14ac:dyDescent="0.3">
      <c r="A67" s="44" t="s">
        <v>27</v>
      </c>
      <c r="B67" s="24" t="s">
        <v>215</v>
      </c>
      <c r="C67" s="369" t="s">
        <v>77</v>
      </c>
      <c r="D67" s="370"/>
      <c r="E67" s="28"/>
      <c r="F67" s="199" t="s">
        <v>429</v>
      </c>
      <c r="G67" s="259" t="s">
        <v>429</v>
      </c>
    </row>
    <row r="68" spans="1:7" s="12" customFormat="1" ht="53.45" customHeight="1" thickBot="1" x14ac:dyDescent="0.3">
      <c r="A68" s="43" t="s">
        <v>214</v>
      </c>
      <c r="B68" s="24" t="s">
        <v>213</v>
      </c>
      <c r="C68" s="369"/>
      <c r="D68" s="370"/>
      <c r="E68" s="28"/>
      <c r="F68" s="199"/>
      <c r="G68" s="259"/>
    </row>
    <row r="69" spans="1:7" s="12" customFormat="1" ht="15" customHeight="1" x14ac:dyDescent="0.25">
      <c r="A69" s="343" t="s">
        <v>28</v>
      </c>
      <c r="B69" s="345" t="s">
        <v>264</v>
      </c>
      <c r="C69" s="472" t="s">
        <v>248</v>
      </c>
      <c r="D69" s="348"/>
      <c r="E69" s="28"/>
      <c r="F69" s="201">
        <v>60</v>
      </c>
      <c r="G69" s="290">
        <v>60</v>
      </c>
    </row>
    <row r="70" spans="1:7" s="12" customFormat="1" ht="39" thickBot="1" x14ac:dyDescent="0.3">
      <c r="A70" s="344"/>
      <c r="B70" s="346"/>
      <c r="C70" s="413" t="s">
        <v>247</v>
      </c>
      <c r="D70" s="342"/>
      <c r="E70" s="28"/>
      <c r="F70" s="198" t="s">
        <v>431</v>
      </c>
      <c r="G70" s="258" t="s">
        <v>440</v>
      </c>
    </row>
    <row r="71" spans="1:7" s="12" customFormat="1" ht="40.5" customHeight="1" thickBot="1" x14ac:dyDescent="0.3">
      <c r="A71" s="44" t="s">
        <v>51</v>
      </c>
      <c r="B71" s="24" t="s">
        <v>212</v>
      </c>
      <c r="C71" s="357"/>
      <c r="D71" s="358"/>
      <c r="E71" s="29"/>
      <c r="F71" s="199"/>
      <c r="G71" s="259"/>
    </row>
    <row r="72" spans="1:7" s="12" customFormat="1" ht="39.6" customHeight="1" thickBot="1" x14ac:dyDescent="0.3">
      <c r="A72" s="44" t="s">
        <v>54</v>
      </c>
      <c r="B72" s="24" t="s">
        <v>80</v>
      </c>
      <c r="C72" s="357"/>
      <c r="D72" s="358"/>
      <c r="E72" s="29"/>
      <c r="F72" s="199"/>
      <c r="G72" s="259"/>
    </row>
    <row r="73" spans="1:7" s="12" customFormat="1" ht="78" customHeight="1" thickBot="1" x14ac:dyDescent="0.3">
      <c r="A73" s="44" t="s">
        <v>29</v>
      </c>
      <c r="B73" s="24" t="s">
        <v>211</v>
      </c>
      <c r="C73" s="357"/>
      <c r="D73" s="358"/>
      <c r="E73" s="29"/>
      <c r="F73" s="199"/>
      <c r="G73" s="259"/>
    </row>
    <row r="74" spans="1:7" s="12" customFormat="1" ht="54.6" customHeight="1" thickBot="1" x14ac:dyDescent="0.3">
      <c r="A74" s="44" t="s">
        <v>31</v>
      </c>
      <c r="B74" s="24" t="s">
        <v>210</v>
      </c>
      <c r="C74" s="369" t="s">
        <v>30</v>
      </c>
      <c r="D74" s="370"/>
      <c r="E74" s="28"/>
      <c r="F74" s="199" t="s">
        <v>411</v>
      </c>
      <c r="G74" s="259" t="s">
        <v>411</v>
      </c>
    </row>
    <row r="75" spans="1:7" s="12" customFormat="1" ht="30.95" customHeight="1" thickBot="1" x14ac:dyDescent="0.3">
      <c r="A75" s="44" t="s">
        <v>55</v>
      </c>
      <c r="B75" s="24" t="s">
        <v>95</v>
      </c>
      <c r="C75" s="357"/>
      <c r="D75" s="358"/>
      <c r="E75" s="29"/>
      <c r="F75" s="199"/>
      <c r="G75" s="259"/>
    </row>
    <row r="76" spans="1:7" s="12" customFormat="1" ht="28.5" customHeight="1" thickBot="1" x14ac:dyDescent="0.3">
      <c r="A76" s="44" t="s">
        <v>32</v>
      </c>
      <c r="B76" s="24" t="s">
        <v>96</v>
      </c>
      <c r="C76" s="369" t="s">
        <v>30</v>
      </c>
      <c r="D76" s="370"/>
      <c r="E76" s="28"/>
      <c r="F76" s="199" t="s">
        <v>412</v>
      </c>
      <c r="G76" s="259" t="s">
        <v>412</v>
      </c>
    </row>
    <row r="77" spans="1:7" s="12" customFormat="1" ht="39.6" customHeight="1" thickBot="1" x14ac:dyDescent="0.3">
      <c r="A77" s="44" t="s">
        <v>56</v>
      </c>
      <c r="B77" s="24" t="s">
        <v>167</v>
      </c>
      <c r="C77" s="357"/>
      <c r="D77" s="358"/>
      <c r="E77" s="29"/>
      <c r="F77" s="199"/>
      <c r="G77" s="259"/>
    </row>
    <row r="78" spans="1:7" s="12" customFormat="1" ht="27" customHeight="1" thickBot="1" x14ac:dyDescent="0.3">
      <c r="A78" s="44" t="s">
        <v>48</v>
      </c>
      <c r="B78" s="24" t="s">
        <v>47</v>
      </c>
      <c r="C78" s="357"/>
      <c r="D78" s="358"/>
      <c r="E78" s="29"/>
      <c r="F78" s="199"/>
      <c r="G78" s="259"/>
    </row>
    <row r="79" spans="1:7" s="12" customFormat="1" ht="26.25" thickBot="1" x14ac:dyDescent="0.3">
      <c r="A79" s="44" t="s">
        <v>49</v>
      </c>
      <c r="B79" s="24" t="s">
        <v>103</v>
      </c>
      <c r="C79" s="357"/>
      <c r="D79" s="358"/>
      <c r="E79" s="29"/>
      <c r="F79" s="199"/>
      <c r="G79" s="259"/>
    </row>
    <row r="80" spans="1:7" s="12" customFormat="1" ht="26.25" thickBot="1" x14ac:dyDescent="0.3">
      <c r="A80" s="44" t="s">
        <v>46</v>
      </c>
      <c r="B80" s="24" t="s">
        <v>81</v>
      </c>
      <c r="C80" s="357"/>
      <c r="D80" s="358"/>
      <c r="E80" s="29"/>
      <c r="F80" s="199"/>
      <c r="G80" s="259"/>
    </row>
    <row r="81" spans="1:7" ht="13.5" thickBot="1" x14ac:dyDescent="0.25"/>
    <row r="82" spans="1:7" s="15" customFormat="1" ht="18.75" thickBot="1" x14ac:dyDescent="0.3">
      <c r="A82" s="362" t="s">
        <v>168</v>
      </c>
      <c r="B82" s="363"/>
      <c r="C82" s="363"/>
      <c r="D82" s="364"/>
      <c r="E82" s="32"/>
      <c r="F82" s="408" t="s">
        <v>392</v>
      </c>
      <c r="G82" s="409"/>
    </row>
    <row r="83" spans="1:7" s="3" customFormat="1" ht="15" customHeight="1" thickBot="1" x14ac:dyDescent="0.3">
      <c r="A83" s="371" t="s">
        <v>169</v>
      </c>
      <c r="B83" s="372"/>
      <c r="C83" s="372"/>
      <c r="D83" s="373"/>
      <c r="E83" s="33"/>
      <c r="F83" s="246" t="s">
        <v>19</v>
      </c>
      <c r="G83" s="246" t="s">
        <v>432</v>
      </c>
    </row>
    <row r="84" spans="1:7" s="12" customFormat="1" x14ac:dyDescent="0.25">
      <c r="A84" s="374" t="s">
        <v>83</v>
      </c>
      <c r="B84" s="375"/>
      <c r="C84" s="375"/>
      <c r="D84" s="376"/>
      <c r="E84" s="29"/>
      <c r="F84" s="251">
        <f>-1010*('PPI Adj'!D6)</f>
        <v>-1178.67</v>
      </c>
      <c r="G84" s="251">
        <f>-1010*('PPI Adj'!D6)</f>
        <v>-1178.67</v>
      </c>
    </row>
    <row r="85" spans="1:7" s="12" customFormat="1" x14ac:dyDescent="0.25">
      <c r="A85" s="377" t="s">
        <v>34</v>
      </c>
      <c r="B85" s="378"/>
      <c r="C85" s="378"/>
      <c r="D85" s="379"/>
      <c r="E85" s="28"/>
      <c r="F85" s="252">
        <f>947*('PPI Adj'!D6)</f>
        <v>1105.1490000000001</v>
      </c>
      <c r="G85" s="252">
        <f>947*('PPI Adj'!D6)</f>
        <v>1105.1490000000001</v>
      </c>
    </row>
    <row r="86" spans="1:7" s="12" customFormat="1" x14ac:dyDescent="0.25">
      <c r="A86" s="377" t="s">
        <v>35</v>
      </c>
      <c r="B86" s="378"/>
      <c r="C86" s="378"/>
      <c r="D86" s="379"/>
      <c r="E86" s="29"/>
      <c r="F86" s="252">
        <f>452*('PPI Adj'!D6)</f>
        <v>527.48400000000004</v>
      </c>
      <c r="G86" s="252">
        <f>452*('PPI Adj'!D6)</f>
        <v>527.48400000000004</v>
      </c>
    </row>
    <row r="87" spans="1:7" s="12" customFormat="1" x14ac:dyDescent="0.25">
      <c r="A87" s="377" t="s">
        <v>36</v>
      </c>
      <c r="B87" s="378"/>
      <c r="C87" s="378"/>
      <c r="D87" s="379"/>
      <c r="E87" s="28"/>
      <c r="F87" s="252">
        <f>477.6*('PPI Adj'!D6)</f>
        <v>557.3592000000001</v>
      </c>
      <c r="G87" s="252">
        <f>477.6*('PPI Adj'!D6)</f>
        <v>557.3592000000001</v>
      </c>
    </row>
    <row r="88" spans="1:7" s="12" customFormat="1" x14ac:dyDescent="0.25">
      <c r="A88" s="377" t="s">
        <v>60</v>
      </c>
      <c r="B88" s="378"/>
      <c r="C88" s="378"/>
      <c r="D88" s="379"/>
      <c r="E88" s="28"/>
      <c r="F88" s="252">
        <f>86*('PPI Adj'!D6)</f>
        <v>100.36200000000001</v>
      </c>
      <c r="G88" s="252">
        <f>86*('PPI Adj'!D6)</f>
        <v>100.36200000000001</v>
      </c>
    </row>
    <row r="89" spans="1:7" s="12" customFormat="1" x14ac:dyDescent="0.25">
      <c r="A89" s="377" t="s">
        <v>61</v>
      </c>
      <c r="B89" s="378"/>
      <c r="C89" s="378"/>
      <c r="D89" s="379"/>
      <c r="E89" s="28"/>
      <c r="F89" s="252">
        <f>1419*('PPI Adj'!D6)</f>
        <v>1655.973</v>
      </c>
      <c r="G89" s="252">
        <f>1419*('PPI Adj'!D6)</f>
        <v>1655.973</v>
      </c>
    </row>
    <row r="90" spans="1:7" s="12" customFormat="1" x14ac:dyDescent="0.25">
      <c r="A90" s="377" t="s">
        <v>86</v>
      </c>
      <c r="B90" s="378"/>
      <c r="C90" s="378"/>
      <c r="D90" s="379"/>
      <c r="E90" s="28"/>
      <c r="F90" s="252">
        <f>856*('PPI Adj'!D6)</f>
        <v>998.952</v>
      </c>
      <c r="G90" s="252">
        <f>856*('PPI Adj'!D6)</f>
        <v>998.952</v>
      </c>
    </row>
    <row r="91" spans="1:7" x14ac:dyDescent="0.2">
      <c r="A91" s="377" t="s">
        <v>85</v>
      </c>
      <c r="B91" s="378"/>
      <c r="C91" s="378"/>
      <c r="D91" s="379"/>
      <c r="E91" s="28"/>
      <c r="F91" s="252">
        <f>8686*('PPI Adj'!D6)</f>
        <v>10136.562</v>
      </c>
      <c r="G91" s="252">
        <f>8686*('PPI Adj'!D6)</f>
        <v>10136.562</v>
      </c>
    </row>
    <row r="92" spans="1:7" x14ac:dyDescent="0.2">
      <c r="A92" s="377" t="s">
        <v>13</v>
      </c>
      <c r="B92" s="378"/>
      <c r="C92" s="378"/>
      <c r="D92" s="379"/>
      <c r="E92" s="28"/>
      <c r="F92" s="252">
        <f>10801*('PPI Adj'!D6)</f>
        <v>12604.767</v>
      </c>
      <c r="G92" s="252">
        <f>10801*('PPI Adj'!D6)</f>
        <v>12604.767</v>
      </c>
    </row>
    <row r="93" spans="1:7" x14ac:dyDescent="0.2">
      <c r="A93" s="377" t="s">
        <v>37</v>
      </c>
      <c r="B93" s="378"/>
      <c r="C93" s="378"/>
      <c r="D93" s="379"/>
      <c r="E93" s="29"/>
      <c r="F93" s="252">
        <f>595*('PPI Adj'!D6)</f>
        <v>694.36500000000001</v>
      </c>
      <c r="G93" s="252">
        <f>595*('PPI Adj'!D6)</f>
        <v>694.36500000000001</v>
      </c>
    </row>
    <row r="94" spans="1:7" x14ac:dyDescent="0.2">
      <c r="A94" s="377" t="s">
        <v>38</v>
      </c>
      <c r="B94" s="378"/>
      <c r="C94" s="378"/>
      <c r="D94" s="379"/>
      <c r="E94" s="29"/>
      <c r="F94" s="252">
        <f>583*('PPI Adj'!D6)</f>
        <v>680.36099999999999</v>
      </c>
      <c r="G94" s="252">
        <f>583*('PPI Adj'!D6)</f>
        <v>680.36099999999999</v>
      </c>
    </row>
    <row r="95" spans="1:7" x14ac:dyDescent="0.2">
      <c r="A95" s="377" t="s">
        <v>201</v>
      </c>
      <c r="B95" s="378"/>
      <c r="C95" s="378"/>
      <c r="D95" s="379"/>
      <c r="E95" s="29"/>
      <c r="F95" s="252" t="s">
        <v>183</v>
      </c>
      <c r="G95" s="252" t="s">
        <v>183</v>
      </c>
    </row>
    <row r="96" spans="1:7" x14ac:dyDescent="0.2">
      <c r="A96" s="377" t="s">
        <v>39</v>
      </c>
      <c r="B96" s="378"/>
      <c r="C96" s="378"/>
      <c r="D96" s="379"/>
      <c r="E96" s="28"/>
      <c r="F96" s="252">
        <f>472*('PPI Adj'!D6)</f>
        <v>550.82400000000007</v>
      </c>
      <c r="G96" s="252">
        <f>472*('PPI Adj'!D6)</f>
        <v>550.82400000000007</v>
      </c>
    </row>
    <row r="97" spans="1:7" x14ac:dyDescent="0.2">
      <c r="A97" s="377" t="s">
        <v>88</v>
      </c>
      <c r="B97" s="378"/>
      <c r="C97" s="378"/>
      <c r="D97" s="379"/>
      <c r="E97" s="28"/>
      <c r="F97" s="252">
        <f>4245*('PPI Adj'!D6)</f>
        <v>4953.915</v>
      </c>
      <c r="G97" s="252">
        <f>4245*('PPI Adj'!D6)</f>
        <v>4953.915</v>
      </c>
    </row>
    <row r="98" spans="1:7" x14ac:dyDescent="0.2">
      <c r="A98" s="377" t="s">
        <v>40</v>
      </c>
      <c r="B98" s="378"/>
      <c r="C98" s="378"/>
      <c r="D98" s="379"/>
      <c r="E98" s="28"/>
      <c r="F98" s="252">
        <f>389*('PPI Adj'!D6)</f>
        <v>453.96300000000002</v>
      </c>
      <c r="G98" s="252">
        <f>389*('PPI Adj'!D6)</f>
        <v>453.96300000000002</v>
      </c>
    </row>
    <row r="99" spans="1:7" x14ac:dyDescent="0.2">
      <c r="A99" s="377" t="s">
        <v>14</v>
      </c>
      <c r="B99" s="378"/>
      <c r="C99" s="378"/>
      <c r="D99" s="379"/>
      <c r="E99" s="28"/>
      <c r="F99" s="252">
        <f>12210*('PPI Adj'!D6)</f>
        <v>14249.07</v>
      </c>
      <c r="G99" s="252">
        <f>12210*('PPI Adj'!D6)</f>
        <v>14249.07</v>
      </c>
    </row>
    <row r="100" spans="1:7" x14ac:dyDescent="0.2">
      <c r="A100" s="377" t="s">
        <v>91</v>
      </c>
      <c r="B100" s="378"/>
      <c r="C100" s="378"/>
      <c r="D100" s="379"/>
      <c r="E100" s="28"/>
      <c r="F100" s="252">
        <f>1971*('PPI Adj'!D6)</f>
        <v>2300.1570000000002</v>
      </c>
      <c r="G100" s="252">
        <f>1971*('PPI Adj'!D6)</f>
        <v>2300.1570000000002</v>
      </c>
    </row>
    <row r="101" spans="1:7" x14ac:dyDescent="0.2">
      <c r="A101" s="383" t="s">
        <v>272</v>
      </c>
      <c r="B101" s="384"/>
      <c r="C101" s="384"/>
      <c r="D101" s="385"/>
      <c r="E101" s="28"/>
      <c r="F101" s="253">
        <f>-1775*('PPI Adj'!D6)</f>
        <v>-2071.4250000000002</v>
      </c>
      <c r="G101" s="253">
        <f>-1775*('PPI Adj'!D6)</f>
        <v>-2071.4250000000002</v>
      </c>
    </row>
    <row r="102" spans="1:7" ht="13.5" customHeight="1" thickBot="1" x14ac:dyDescent="0.25">
      <c r="A102" s="458" t="s">
        <v>92</v>
      </c>
      <c r="B102" s="459"/>
      <c r="C102" s="459"/>
      <c r="D102" s="460"/>
      <c r="E102" s="29"/>
      <c r="F102" s="254">
        <f>2023*('PPI Adj'!D6)</f>
        <v>2360.8409999999999</v>
      </c>
      <c r="G102" s="254">
        <f>2023*('PPI Adj'!D6)</f>
        <v>2360.8409999999999</v>
      </c>
    </row>
    <row r="103" spans="1:7" ht="13.5" thickBot="1" x14ac:dyDescent="0.25"/>
    <row r="104" spans="1:7" s="15" customFormat="1" ht="18.75" thickBot="1" x14ac:dyDescent="0.3">
      <c r="A104" s="362" t="s">
        <v>166</v>
      </c>
      <c r="B104" s="363"/>
      <c r="C104" s="363"/>
      <c r="D104" s="364"/>
      <c r="E104" s="32"/>
      <c r="F104" s="408" t="s">
        <v>392</v>
      </c>
      <c r="G104" s="409"/>
    </row>
    <row r="105" spans="1:7" s="3" customFormat="1" ht="15" customHeight="1" thickBot="1" x14ac:dyDescent="0.3">
      <c r="A105" s="46" t="s">
        <v>33</v>
      </c>
      <c r="B105" s="18" t="s">
        <v>7</v>
      </c>
      <c r="C105" s="386" t="s">
        <v>165</v>
      </c>
      <c r="D105" s="387"/>
      <c r="E105" s="33"/>
      <c r="F105" s="246" t="s">
        <v>19</v>
      </c>
      <c r="G105" s="246" t="s">
        <v>432</v>
      </c>
    </row>
    <row r="106" spans="1:7" s="12" customFormat="1" ht="41.1" customHeight="1" thickBot="1" x14ac:dyDescent="0.3">
      <c r="A106" s="47" t="s">
        <v>83</v>
      </c>
      <c r="B106" s="17" t="s">
        <v>146</v>
      </c>
      <c r="C106" s="388"/>
      <c r="D106" s="389"/>
      <c r="E106" s="29"/>
      <c r="F106" s="291"/>
      <c r="G106" s="193"/>
    </row>
    <row r="107" spans="1:7" s="12" customFormat="1" ht="26.25" thickBot="1" x14ac:dyDescent="0.3">
      <c r="A107" s="44" t="s">
        <v>34</v>
      </c>
      <c r="B107" s="24" t="s">
        <v>107</v>
      </c>
      <c r="C107" s="369" t="s">
        <v>30</v>
      </c>
      <c r="D107" s="370"/>
      <c r="E107" s="28"/>
      <c r="F107" s="291" t="s">
        <v>352</v>
      </c>
      <c r="G107" s="193" t="s">
        <v>352</v>
      </c>
    </row>
    <row r="108" spans="1:7" s="12" customFormat="1" ht="51.95" customHeight="1" thickBot="1" x14ac:dyDescent="0.3">
      <c r="A108" s="44" t="s">
        <v>35</v>
      </c>
      <c r="B108" s="24" t="s">
        <v>97</v>
      </c>
      <c r="C108" s="357"/>
      <c r="D108" s="358"/>
      <c r="E108" s="29"/>
      <c r="F108" s="291"/>
      <c r="G108" s="193"/>
    </row>
    <row r="109" spans="1:7" s="12" customFormat="1" ht="26.25" thickBot="1" x14ac:dyDescent="0.3">
      <c r="A109" s="44" t="s">
        <v>36</v>
      </c>
      <c r="B109" s="24" t="s">
        <v>84</v>
      </c>
      <c r="C109" s="369" t="s">
        <v>99</v>
      </c>
      <c r="D109" s="370"/>
      <c r="E109" s="28"/>
      <c r="F109" s="291" t="s">
        <v>413</v>
      </c>
      <c r="G109" s="193" t="s">
        <v>413</v>
      </c>
    </row>
    <row r="110" spans="1:7" s="12" customFormat="1" ht="12.75" customHeight="1" x14ac:dyDescent="0.25">
      <c r="A110" s="343" t="s">
        <v>60</v>
      </c>
      <c r="B110" s="345" t="s">
        <v>133</v>
      </c>
      <c r="C110" s="347" t="s">
        <v>203</v>
      </c>
      <c r="D110" s="348"/>
      <c r="E110" s="28"/>
      <c r="F110" s="292" t="s">
        <v>401</v>
      </c>
      <c r="G110" s="192" t="s">
        <v>401</v>
      </c>
    </row>
    <row r="111" spans="1:7" s="12" customFormat="1" x14ac:dyDescent="0.25">
      <c r="A111" s="351"/>
      <c r="B111" s="352"/>
      <c r="C111" s="353" t="s">
        <v>202</v>
      </c>
      <c r="D111" s="354"/>
      <c r="E111" s="28"/>
      <c r="F111" s="293">
        <v>5675</v>
      </c>
      <c r="G111" s="180">
        <v>5675</v>
      </c>
    </row>
    <row r="112" spans="1:7" s="12" customFormat="1" x14ac:dyDescent="0.25">
      <c r="A112" s="351"/>
      <c r="B112" s="352"/>
      <c r="C112" s="353" t="s">
        <v>114</v>
      </c>
      <c r="D112" s="354"/>
      <c r="E112" s="28"/>
      <c r="F112" s="293" t="s">
        <v>414</v>
      </c>
      <c r="G112" s="180" t="s">
        <v>414</v>
      </c>
    </row>
    <row r="113" spans="1:7" s="12" customFormat="1" ht="30.75" customHeight="1" thickBot="1" x14ac:dyDescent="0.3">
      <c r="A113" s="344"/>
      <c r="B113" s="346"/>
      <c r="C113" s="341" t="s">
        <v>115</v>
      </c>
      <c r="D113" s="342"/>
      <c r="E113" s="28"/>
      <c r="F113" s="213" t="s">
        <v>415</v>
      </c>
      <c r="G113" s="184" t="s">
        <v>415</v>
      </c>
    </row>
    <row r="114" spans="1:7" s="12" customFormat="1" ht="12.75" customHeight="1" x14ac:dyDescent="0.25">
      <c r="A114" s="343" t="s">
        <v>61</v>
      </c>
      <c r="B114" s="345" t="s">
        <v>206</v>
      </c>
      <c r="C114" s="347" t="s">
        <v>205</v>
      </c>
      <c r="D114" s="348"/>
      <c r="E114" s="28"/>
      <c r="F114" s="292" t="s">
        <v>416</v>
      </c>
      <c r="G114" s="192" t="s">
        <v>416</v>
      </c>
    </row>
    <row r="115" spans="1:7" s="12" customFormat="1" x14ac:dyDescent="0.25">
      <c r="A115" s="351"/>
      <c r="B115" s="352"/>
      <c r="C115" s="353" t="s">
        <v>204</v>
      </c>
      <c r="D115" s="354"/>
      <c r="E115" s="28"/>
      <c r="F115" s="294">
        <v>6610</v>
      </c>
      <c r="G115" s="209">
        <v>6610</v>
      </c>
    </row>
    <row r="116" spans="1:7" s="12" customFormat="1" x14ac:dyDescent="0.25">
      <c r="A116" s="351"/>
      <c r="B116" s="352"/>
      <c r="C116" s="353" t="s">
        <v>203</v>
      </c>
      <c r="D116" s="354"/>
      <c r="E116" s="28"/>
      <c r="F116" s="294" t="s">
        <v>416</v>
      </c>
      <c r="G116" s="209" t="s">
        <v>416</v>
      </c>
    </row>
    <row r="117" spans="1:7" s="12" customFormat="1" x14ac:dyDescent="0.25">
      <c r="A117" s="351"/>
      <c r="B117" s="352"/>
      <c r="C117" s="353" t="s">
        <v>202</v>
      </c>
      <c r="D117" s="354"/>
      <c r="E117" s="28"/>
      <c r="F117" s="293">
        <v>6005</v>
      </c>
      <c r="G117" s="180">
        <v>6005</v>
      </c>
    </row>
    <row r="118" spans="1:7" s="12" customFormat="1" x14ac:dyDescent="0.25">
      <c r="A118" s="351"/>
      <c r="B118" s="352"/>
      <c r="C118" s="353" t="s">
        <v>112</v>
      </c>
      <c r="D118" s="354"/>
      <c r="E118" s="28"/>
      <c r="F118" s="293" t="s">
        <v>417</v>
      </c>
      <c r="G118" s="180" t="s">
        <v>417</v>
      </c>
    </row>
    <row r="119" spans="1:7" s="12" customFormat="1" x14ac:dyDescent="0.25">
      <c r="A119" s="351"/>
      <c r="B119" s="352"/>
      <c r="C119" s="353" t="s">
        <v>113</v>
      </c>
      <c r="D119" s="354"/>
      <c r="E119" s="28"/>
      <c r="F119" s="294" t="s">
        <v>418</v>
      </c>
      <c r="G119" s="209" t="s">
        <v>418</v>
      </c>
    </row>
    <row r="120" spans="1:7" s="12" customFormat="1" x14ac:dyDescent="0.25">
      <c r="A120" s="351"/>
      <c r="B120" s="352"/>
      <c r="C120" s="353" t="s">
        <v>114</v>
      </c>
      <c r="D120" s="354"/>
      <c r="E120" s="28"/>
      <c r="F120" s="294" t="s">
        <v>419</v>
      </c>
      <c r="G120" s="209" t="s">
        <v>419</v>
      </c>
    </row>
    <row r="121" spans="1:7" s="12" customFormat="1" ht="13.5" thickBot="1" x14ac:dyDescent="0.3">
      <c r="A121" s="344"/>
      <c r="B121" s="346"/>
      <c r="C121" s="341" t="s">
        <v>115</v>
      </c>
      <c r="D121" s="342"/>
      <c r="E121" s="28"/>
      <c r="F121" s="213" t="s">
        <v>418</v>
      </c>
      <c r="G121" s="184" t="s">
        <v>418</v>
      </c>
    </row>
    <row r="122" spans="1:7" s="12" customFormat="1" ht="143.44999999999999" customHeight="1" thickBot="1" x14ac:dyDescent="0.3">
      <c r="A122" s="48" t="s">
        <v>86</v>
      </c>
      <c r="B122" s="16" t="s">
        <v>143</v>
      </c>
      <c r="C122" s="369" t="s">
        <v>104</v>
      </c>
      <c r="D122" s="370"/>
      <c r="E122" s="28"/>
      <c r="F122" s="292" t="s">
        <v>420</v>
      </c>
      <c r="G122" s="192" t="s">
        <v>420</v>
      </c>
    </row>
    <row r="123" spans="1:7" ht="168.6" customHeight="1" thickBot="1" x14ac:dyDescent="0.25">
      <c r="A123" s="44" t="s">
        <v>85</v>
      </c>
      <c r="B123" s="13" t="s">
        <v>170</v>
      </c>
      <c r="C123" s="369" t="s">
        <v>104</v>
      </c>
      <c r="D123" s="370"/>
      <c r="E123" s="28"/>
      <c r="F123" s="291" t="s">
        <v>421</v>
      </c>
      <c r="G123" s="193" t="s">
        <v>421</v>
      </c>
    </row>
    <row r="124" spans="1:7" x14ac:dyDescent="0.2">
      <c r="A124" s="343" t="s">
        <v>13</v>
      </c>
      <c r="B124" s="345" t="s">
        <v>98</v>
      </c>
      <c r="C124" s="347" t="s">
        <v>30</v>
      </c>
      <c r="D124" s="348"/>
      <c r="E124" s="28"/>
      <c r="F124" s="292" t="s">
        <v>422</v>
      </c>
      <c r="G124" s="192" t="s">
        <v>422</v>
      </c>
    </row>
    <row r="125" spans="1:7" ht="29.45" customHeight="1" thickBot="1" x14ac:dyDescent="0.25">
      <c r="A125" s="344"/>
      <c r="B125" s="346"/>
      <c r="C125" s="341" t="s">
        <v>109</v>
      </c>
      <c r="D125" s="342"/>
      <c r="E125" s="28"/>
      <c r="F125" s="213" t="s">
        <v>362</v>
      </c>
      <c r="G125" s="184" t="s">
        <v>362</v>
      </c>
    </row>
    <row r="126" spans="1:7" ht="66.95" customHeight="1" thickBot="1" x14ac:dyDescent="0.25">
      <c r="A126" s="44" t="s">
        <v>37</v>
      </c>
      <c r="B126" s="24" t="s">
        <v>135</v>
      </c>
      <c r="C126" s="357"/>
      <c r="D126" s="358"/>
      <c r="E126" s="29"/>
      <c r="F126" s="291" t="s">
        <v>378</v>
      </c>
      <c r="G126" s="193" t="s">
        <v>378</v>
      </c>
    </row>
    <row r="127" spans="1:7" ht="41.1" customHeight="1" thickBot="1" x14ac:dyDescent="0.25">
      <c r="A127" s="44" t="s">
        <v>38</v>
      </c>
      <c r="B127" s="24" t="s">
        <v>87</v>
      </c>
      <c r="C127" s="357"/>
      <c r="D127" s="358"/>
      <c r="E127" s="29"/>
      <c r="F127" s="291"/>
      <c r="G127" s="193"/>
    </row>
    <row r="128" spans="1:7" ht="14.45" customHeight="1" thickBot="1" x14ac:dyDescent="0.25">
      <c r="A128" s="44" t="s">
        <v>201</v>
      </c>
      <c r="B128" s="24" t="s">
        <v>200</v>
      </c>
      <c r="C128" s="369"/>
      <c r="D128" s="370"/>
      <c r="E128" s="28"/>
      <c r="F128" s="291"/>
      <c r="G128" s="193"/>
    </row>
    <row r="129" spans="1:7" ht="26.45" customHeight="1" thickBot="1" x14ac:dyDescent="0.25">
      <c r="A129" s="44" t="s">
        <v>39</v>
      </c>
      <c r="B129" s="24" t="s">
        <v>106</v>
      </c>
      <c r="C129" s="369" t="s">
        <v>105</v>
      </c>
      <c r="D129" s="370"/>
      <c r="E129" s="28"/>
      <c r="F129" s="291" t="s">
        <v>324</v>
      </c>
      <c r="G129" s="193" t="s">
        <v>324</v>
      </c>
    </row>
    <row r="130" spans="1:7" x14ac:dyDescent="0.2">
      <c r="A130" s="343" t="s">
        <v>88</v>
      </c>
      <c r="B130" s="345" t="s">
        <v>148</v>
      </c>
      <c r="C130" s="347" t="s">
        <v>100</v>
      </c>
      <c r="D130" s="348"/>
      <c r="E130" s="28"/>
      <c r="F130" s="292" t="s">
        <v>423</v>
      </c>
      <c r="G130" s="192" t="s">
        <v>423</v>
      </c>
    </row>
    <row r="131" spans="1:7" ht="108" customHeight="1" thickBot="1" x14ac:dyDescent="0.25">
      <c r="A131" s="344"/>
      <c r="B131" s="346"/>
      <c r="C131" s="341" t="s">
        <v>110</v>
      </c>
      <c r="D131" s="342"/>
      <c r="E131" s="28"/>
      <c r="F131" s="295" t="s">
        <v>438</v>
      </c>
      <c r="G131" s="255" t="s">
        <v>438</v>
      </c>
    </row>
    <row r="132" spans="1:7" ht="26.25" thickBot="1" x14ac:dyDescent="0.25">
      <c r="A132" s="44" t="s">
        <v>40</v>
      </c>
      <c r="B132" s="24" t="s">
        <v>137</v>
      </c>
      <c r="C132" s="369" t="s">
        <v>100</v>
      </c>
      <c r="D132" s="370"/>
      <c r="E132" s="28"/>
      <c r="F132" s="213" t="s">
        <v>363</v>
      </c>
      <c r="G132" s="184" t="s">
        <v>363</v>
      </c>
    </row>
    <row r="133" spans="1:7" ht="54.6" customHeight="1" thickBot="1" x14ac:dyDescent="0.25">
      <c r="A133" s="44" t="s">
        <v>14</v>
      </c>
      <c r="B133" s="24" t="s">
        <v>138</v>
      </c>
      <c r="C133" s="369" t="s">
        <v>139</v>
      </c>
      <c r="D133" s="370"/>
      <c r="E133" s="28"/>
      <c r="F133" s="291">
        <v>2</v>
      </c>
      <c r="G133" s="193">
        <v>2</v>
      </c>
    </row>
    <row r="134" spans="1:7" ht="66" customHeight="1" thickBot="1" x14ac:dyDescent="0.25">
      <c r="A134" s="44" t="s">
        <v>91</v>
      </c>
      <c r="B134" s="24" t="s">
        <v>144</v>
      </c>
      <c r="C134" s="369" t="s">
        <v>100</v>
      </c>
      <c r="D134" s="370"/>
      <c r="E134" s="28"/>
      <c r="F134" s="291" t="s">
        <v>364</v>
      </c>
      <c r="G134" s="193" t="s">
        <v>364</v>
      </c>
    </row>
    <row r="135" spans="1:7" ht="65.45" customHeight="1" thickBot="1" x14ac:dyDescent="0.25">
      <c r="A135" s="44" t="s">
        <v>92</v>
      </c>
      <c r="B135" s="24" t="s">
        <v>145</v>
      </c>
      <c r="C135" s="357"/>
      <c r="D135" s="358"/>
      <c r="E135" s="29"/>
      <c r="F135" s="291"/>
      <c r="G135" s="193"/>
    </row>
  </sheetData>
  <sheetProtection algorithmName="SHA-512" hashValue="bzqmiurC9CpL/b73ERjUL4GaLDWxN8RrqmhiKE8X3SWhSSlyoAhLUQyNnHhNMC1SRqK8FsguLnKqxqOfHopBeQ==" saltValue="qn+Jdq2ECEo8bh4kk7VeLw==" spinCount="100000" sheet="1" objects="1" scenarios="1"/>
  <dataConsolidate/>
  <mergeCells count="159">
    <mergeCell ref="F104:G104"/>
    <mergeCell ref="F82:G82"/>
    <mergeCell ref="C134:D134"/>
    <mergeCell ref="C135:D135"/>
    <mergeCell ref="C126:D126"/>
    <mergeCell ref="C127:D127"/>
    <mergeCell ref="C128:D128"/>
    <mergeCell ref="C129:D129"/>
    <mergeCell ref="C119:D119"/>
    <mergeCell ref="C120:D120"/>
    <mergeCell ref="C121:D121"/>
    <mergeCell ref="A83:D83"/>
    <mergeCell ref="A84:D84"/>
    <mergeCell ref="A85:D85"/>
    <mergeCell ref="A86:D86"/>
    <mergeCell ref="A87:D87"/>
    <mergeCell ref="A88:D88"/>
    <mergeCell ref="A82:D82"/>
    <mergeCell ref="A130:A131"/>
    <mergeCell ref="B130:B131"/>
    <mergeCell ref="C130:D130"/>
    <mergeCell ref="C131:D131"/>
    <mergeCell ref="C132:D132"/>
    <mergeCell ref="C133:D133"/>
    <mergeCell ref="C105:D105"/>
    <mergeCell ref="C106:D106"/>
    <mergeCell ref="C107:D107"/>
    <mergeCell ref="C122:D122"/>
    <mergeCell ref="C123:D123"/>
    <mergeCell ref="A124:A125"/>
    <mergeCell ref="B124:B125"/>
    <mergeCell ref="C124:D124"/>
    <mergeCell ref="C125:D125"/>
    <mergeCell ref="A114:A121"/>
    <mergeCell ref="C108:D108"/>
    <mergeCell ref="C109:D109"/>
    <mergeCell ref="A110:A113"/>
    <mergeCell ref="B110:B113"/>
    <mergeCell ref="C110:D110"/>
    <mergeCell ref="C111:D111"/>
    <mergeCell ref="C112:D112"/>
    <mergeCell ref="C113:D113"/>
    <mergeCell ref="B114:B121"/>
    <mergeCell ref="C114:D114"/>
    <mergeCell ref="C115:D115"/>
    <mergeCell ref="C116:D116"/>
    <mergeCell ref="C117:D117"/>
    <mergeCell ref="C118:D118"/>
    <mergeCell ref="A100:D100"/>
    <mergeCell ref="A89:D89"/>
    <mergeCell ref="A90:D90"/>
    <mergeCell ref="A91:D91"/>
    <mergeCell ref="A92:D92"/>
    <mergeCell ref="A93:D93"/>
    <mergeCell ref="A94:D94"/>
    <mergeCell ref="A102:D102"/>
    <mergeCell ref="A104:D104"/>
    <mergeCell ref="A101:D101"/>
    <mergeCell ref="A95:D95"/>
    <mergeCell ref="A96:D96"/>
    <mergeCell ref="A97:D97"/>
    <mergeCell ref="A98:D98"/>
    <mergeCell ref="A99:D99"/>
    <mergeCell ref="C77:D77"/>
    <mergeCell ref="C78:D78"/>
    <mergeCell ref="C79:D79"/>
    <mergeCell ref="C80:D80"/>
    <mergeCell ref="C71:D71"/>
    <mergeCell ref="C72:D72"/>
    <mergeCell ref="C73:D73"/>
    <mergeCell ref="C74:D74"/>
    <mergeCell ref="C75:D75"/>
    <mergeCell ref="C76:D76"/>
    <mergeCell ref="A69:A70"/>
    <mergeCell ref="B69:B70"/>
    <mergeCell ref="C69:D69"/>
    <mergeCell ref="C70:D70"/>
    <mergeCell ref="A60:A62"/>
    <mergeCell ref="B60:B62"/>
    <mergeCell ref="C60:D60"/>
    <mergeCell ref="C61:D61"/>
    <mergeCell ref="C62:D62"/>
    <mergeCell ref="C63:D63"/>
    <mergeCell ref="C64:D64"/>
    <mergeCell ref="C65:D65"/>
    <mergeCell ref="C66:D66"/>
    <mergeCell ref="C67:D67"/>
    <mergeCell ref="C68:D68"/>
    <mergeCell ref="A53:A55"/>
    <mergeCell ref="B53:B55"/>
    <mergeCell ref="C53:D53"/>
    <mergeCell ref="C54:D54"/>
    <mergeCell ref="C55:D55"/>
    <mergeCell ref="C56:D56"/>
    <mergeCell ref="C57:D57"/>
    <mergeCell ref="A58:A59"/>
    <mergeCell ref="B58:B59"/>
    <mergeCell ref="C58:D58"/>
    <mergeCell ref="C59:D59"/>
    <mergeCell ref="C25:D25"/>
    <mergeCell ref="C26:D26"/>
    <mergeCell ref="C37:D37"/>
    <mergeCell ref="C44:D44"/>
    <mergeCell ref="A45:A52"/>
    <mergeCell ref="B45:B52"/>
    <mergeCell ref="C45:D45"/>
    <mergeCell ref="C46:D46"/>
    <mergeCell ref="C47:D47"/>
    <mergeCell ref="C48:D48"/>
    <mergeCell ref="C49:D49"/>
    <mergeCell ref="C50:D50"/>
    <mergeCell ref="C51:D51"/>
    <mergeCell ref="C52:D52"/>
    <mergeCell ref="A38:A39"/>
    <mergeCell ref="B38:B39"/>
    <mergeCell ref="C38:D38"/>
    <mergeCell ref="C39:D39"/>
    <mergeCell ref="C40:D40"/>
    <mergeCell ref="A41:A43"/>
    <mergeCell ref="B41:B43"/>
    <mergeCell ref="C41:D41"/>
    <mergeCell ref="C42:D42"/>
    <mergeCell ref="C43:D43"/>
    <mergeCell ref="A27:A28"/>
    <mergeCell ref="B27:B28"/>
    <mergeCell ref="C27:D27"/>
    <mergeCell ref="C28:D28"/>
    <mergeCell ref="C34:D34"/>
    <mergeCell ref="C29:D29"/>
    <mergeCell ref="A30:A34"/>
    <mergeCell ref="B30:B34"/>
    <mergeCell ref="C30:D30"/>
    <mergeCell ref="C31:D31"/>
    <mergeCell ref="C32:D32"/>
    <mergeCell ref="C33:D33"/>
    <mergeCell ref="C35:D35"/>
    <mergeCell ref="A36:A37"/>
    <mergeCell ref="B36:B37"/>
    <mergeCell ref="C36:D36"/>
    <mergeCell ref="A3:D3"/>
    <mergeCell ref="A4:D4"/>
    <mergeCell ref="A6:D6"/>
    <mergeCell ref="B8:D8"/>
    <mergeCell ref="F24:G24"/>
    <mergeCell ref="B9:D9"/>
    <mergeCell ref="B10:D10"/>
    <mergeCell ref="B11:D11"/>
    <mergeCell ref="B12:D12"/>
    <mergeCell ref="B21:D21"/>
    <mergeCell ref="B22:D22"/>
    <mergeCell ref="A24:D24"/>
    <mergeCell ref="B13:D13"/>
    <mergeCell ref="B14:D14"/>
    <mergeCell ref="F6:G6"/>
    <mergeCell ref="F19:G19"/>
    <mergeCell ref="B15:D15"/>
    <mergeCell ref="B16:D16"/>
    <mergeCell ref="B17:D17"/>
    <mergeCell ref="A19:D19"/>
  </mergeCells>
  <phoneticPr fontId="21" type="noConversion"/>
  <conditionalFormatting sqref="C56 C65">
    <cfRule type="expression" dxfId="82" priority="135">
      <formula>#REF!="NO"</formula>
    </cfRule>
  </conditionalFormatting>
  <conditionalFormatting sqref="C41:D43">
    <cfRule type="expression" dxfId="81" priority="123">
      <formula>$F$2="NO"</formula>
    </cfRule>
  </conditionalFormatting>
  <conditionalFormatting sqref="C26:E40">
    <cfRule type="expression" dxfId="80" priority="125">
      <formula>#REF!="NO"</formula>
    </cfRule>
  </conditionalFormatting>
  <conditionalFormatting sqref="C44:E80">
    <cfRule type="expression" dxfId="79" priority="122">
      <formula>#REF!="NO"</formula>
    </cfRule>
  </conditionalFormatting>
  <conditionalFormatting sqref="C106:G135">
    <cfRule type="expression" dxfId="78" priority="7">
      <formula>#REF!="NO"</formula>
    </cfRule>
  </conditionalFormatting>
  <conditionalFormatting sqref="E41:E43">
    <cfRule type="expression" dxfId="77" priority="124">
      <formula>#REF!="NO"</formula>
    </cfRule>
  </conditionalFormatting>
  <conditionalFormatting sqref="E84:G102">
    <cfRule type="expression" dxfId="76" priority="1">
      <formula>#REF!="NO"</formula>
    </cfRule>
  </conditionalFormatting>
  <conditionalFormatting sqref="F8:F17">
    <cfRule type="expression" dxfId="75" priority="80">
      <formula>#REF!="NO"</formula>
    </cfRule>
  </conditionalFormatting>
  <conditionalFormatting sqref="F21">
    <cfRule type="expression" dxfId="74" priority="121">
      <formula>#REF!="NO"</formula>
    </cfRule>
  </conditionalFormatting>
  <conditionalFormatting sqref="F26:F80">
    <cfRule type="expression" dxfId="73" priority="87">
      <formula>#REF!="NO"</formula>
    </cfRule>
  </conditionalFormatting>
  <conditionalFormatting sqref="F21:G22">
    <cfRule type="expression" dxfId="72" priority="30">
      <formula>#REF!="NO"</formula>
    </cfRule>
  </conditionalFormatting>
  <conditionalFormatting sqref="G8">
    <cfRule type="expression" dxfId="71" priority="44">
      <formula>$F$2="NO"</formula>
    </cfRule>
  </conditionalFormatting>
  <conditionalFormatting sqref="G9">
    <cfRule type="expression" dxfId="70" priority="36">
      <formula>#REF!="NO"</formula>
    </cfRule>
  </conditionalFormatting>
  <conditionalFormatting sqref="G10:G17">
    <cfRule type="expression" dxfId="69" priority="38">
      <formula>$F$2="NO"</formula>
    </cfRule>
  </conditionalFormatting>
  <conditionalFormatting sqref="G21">
    <cfRule type="expression" dxfId="68" priority="33">
      <formula>$F$2="NO"</formula>
    </cfRule>
  </conditionalFormatting>
  <conditionalFormatting sqref="G22">
    <cfRule type="expression" dxfId="67" priority="31">
      <formula>#REF!="NO"</formula>
    </cfRule>
  </conditionalFormatting>
  <conditionalFormatting sqref="G26">
    <cfRule type="expression" dxfId="66" priority="62">
      <formula>#REF!="NO"</formula>
    </cfRule>
  </conditionalFormatting>
  <conditionalFormatting sqref="G27:G68">
    <cfRule type="expression" dxfId="65" priority="63">
      <formula>$F$2="NO"</formula>
    </cfRule>
  </conditionalFormatting>
  <conditionalFormatting sqref="G56:G57">
    <cfRule type="expression" dxfId="64" priority="71">
      <formula>#REF!="NO"</formula>
    </cfRule>
  </conditionalFormatting>
  <conditionalFormatting sqref="G65">
    <cfRule type="expression" dxfId="63" priority="77">
      <formula>#REF!="NO"</formula>
    </cfRule>
  </conditionalFormatting>
  <conditionalFormatting sqref="G69">
    <cfRule type="expression" dxfId="62" priority="133">
      <formula>#REF!="NO"</formula>
    </cfRule>
  </conditionalFormatting>
  <conditionalFormatting sqref="G70:G80">
    <cfRule type="expression" dxfId="61" priority="66">
      <formula>$F$2="NO"</formula>
    </cfRule>
  </conditionalFormatting>
  <dataValidations count="3">
    <dataValidation type="decimal" operator="greaterThanOrEqual" allowBlank="1" showInputMessage="1" showErrorMessage="1" error="The Pickup Allowance cannot be a negative number." sqref="F16:G16" xr:uid="{00000000-0002-0000-0400-000002000000}">
      <formula1>0</formula1>
    </dataValidation>
    <dataValidation type="decimal" allowBlank="1" showInputMessage="1" showErrorMessage="1" error="Invalid Entry - Bidder must enter a value that is greater than $0" sqref="F21:G21" xr:uid="{00000000-0002-0000-0400-000001000000}">
      <formula1>0</formula1>
      <formula2>9E+21</formula2>
    </dataValidation>
    <dataValidation type="decimal" allowBlank="1" showInputMessage="1" showErrorMessage="1" error="The Additional Options NYS Discount entered must be greater than 0%, or less than or equal to 100%." sqref="F22:G22" xr:uid="{00000000-0002-0000-0400-000000000000}">
      <formula1>0.01</formula1>
      <formula2>100</formula2>
    </dataValidation>
  </dataValidations>
  <pageMargins left="0.25" right="0.25" top="0.5" bottom="0.25" header="0.3" footer="0.3"/>
  <pageSetup scale="82"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6D5DF-13F9-48DA-9288-39023594F57F}">
  <sheetPr codeName="Sheet10">
    <tabColor theme="5"/>
  </sheetPr>
  <dimension ref="A1:F127"/>
  <sheetViews>
    <sheetView showGridLines="0" zoomScaleNormal="100" zoomScaleSheetLayoutView="100" workbookViewId="0">
      <selection activeCell="A3" sqref="A3:D3"/>
    </sheetView>
  </sheetViews>
  <sheetFormatPr defaultRowHeight="15" x14ac:dyDescent="0.25"/>
  <cols>
    <col min="1" max="1" width="19.140625" customWidth="1"/>
    <col min="2" max="2" width="62.85546875" customWidth="1"/>
    <col min="3" max="3" width="14.7109375" customWidth="1"/>
    <col min="4" max="4" width="20.7109375" customWidth="1"/>
    <col min="5" max="5" width="2.7109375" customWidth="1"/>
    <col min="6" max="6" width="25" style="297" customWidth="1"/>
  </cols>
  <sheetData>
    <row r="1" spans="1:6" s="64" customFormat="1" ht="12.75" x14ac:dyDescent="0.2">
      <c r="A1" s="245" t="str">
        <f>'A (Item 2-G)'!$A$1</f>
        <v>GROUP 40524-23254, SCHOOL BUSES (Statewide)                                                             Attachment 1 - Specifications and Pricing (Revised October 15, 2026)</v>
      </c>
      <c r="F1" s="296"/>
    </row>
    <row r="2" spans="1:6" ht="15.75" thickBot="1" x14ac:dyDescent="0.3">
      <c r="A2" s="305" t="str">
        <f>'Attachment 1 - Summary'!B2</f>
        <v>PC69862 Matthews Buses, Inc.</v>
      </c>
      <c r="B2" s="20"/>
      <c r="C2" s="20"/>
      <c r="D2" s="20"/>
      <c r="E2" s="20"/>
      <c r="F2" s="273"/>
    </row>
    <row r="3" spans="1:6" ht="24" thickBot="1" x14ac:dyDescent="0.3">
      <c r="A3" s="473" t="s">
        <v>271</v>
      </c>
      <c r="B3" s="474"/>
      <c r="C3" s="474"/>
      <c r="D3" s="475"/>
    </row>
    <row r="4" spans="1:6" ht="39.950000000000003" customHeight="1" thickBot="1" x14ac:dyDescent="0.3">
      <c r="A4" s="329" t="s">
        <v>441</v>
      </c>
      <c r="B4" s="330"/>
      <c r="C4" s="330"/>
      <c r="D4" s="331"/>
    </row>
    <row r="5" spans="1:6" ht="15.75" thickBot="1" x14ac:dyDescent="0.3">
      <c r="A5" s="272"/>
      <c r="B5" s="272"/>
      <c r="C5" s="272"/>
      <c r="D5" s="272"/>
      <c r="E5" s="272"/>
      <c r="F5" s="275"/>
    </row>
    <row r="6" spans="1:6" ht="16.5" thickBot="1" x14ac:dyDescent="0.3">
      <c r="A6" s="335" t="s">
        <v>151</v>
      </c>
      <c r="B6" s="336"/>
      <c r="C6" s="336"/>
      <c r="D6" s="337"/>
      <c r="E6" s="30"/>
      <c r="F6" s="208" t="s">
        <v>392</v>
      </c>
    </row>
    <row r="7" spans="1:6" ht="15.75" thickBot="1" x14ac:dyDescent="0.3">
      <c r="A7" s="35" t="s">
        <v>6</v>
      </c>
      <c r="B7" s="21" t="s">
        <v>165</v>
      </c>
      <c r="C7" s="26"/>
      <c r="D7" s="34"/>
      <c r="E7" s="31"/>
      <c r="F7" s="298" t="s">
        <v>184</v>
      </c>
    </row>
    <row r="8" spans="1:6" ht="103.5" thickTop="1" thickBot="1" x14ac:dyDescent="0.3">
      <c r="A8" s="36" t="s">
        <v>185</v>
      </c>
      <c r="B8" s="323" t="s">
        <v>442</v>
      </c>
      <c r="C8" s="324"/>
      <c r="D8" s="325"/>
      <c r="E8" s="12"/>
      <c r="F8" s="299" t="s">
        <v>443</v>
      </c>
    </row>
    <row r="9" spans="1:6" ht="38.450000000000003" customHeight="1" thickTop="1" thickBot="1" x14ac:dyDescent="0.3">
      <c r="A9" s="36" t="s">
        <v>229</v>
      </c>
      <c r="B9" s="323" t="s">
        <v>230</v>
      </c>
      <c r="C9" s="324"/>
      <c r="D9" s="325"/>
      <c r="E9" s="12"/>
      <c r="F9" s="300" t="s">
        <v>439</v>
      </c>
    </row>
    <row r="10" spans="1:6" ht="15.75" thickTop="1" x14ac:dyDescent="0.25">
      <c r="A10" s="37" t="s">
        <v>0</v>
      </c>
      <c r="B10" s="314" t="s">
        <v>154</v>
      </c>
      <c r="C10" s="315"/>
      <c r="D10" s="316"/>
      <c r="E10" s="12"/>
      <c r="F10" s="209" t="s">
        <v>395</v>
      </c>
    </row>
    <row r="11" spans="1:6" x14ac:dyDescent="0.25">
      <c r="A11" s="37" t="s">
        <v>1</v>
      </c>
      <c r="B11" s="314" t="s">
        <v>228</v>
      </c>
      <c r="C11" s="315"/>
      <c r="D11" s="316"/>
      <c r="E11" s="12"/>
      <c r="F11" s="180" t="s">
        <v>396</v>
      </c>
    </row>
    <row r="12" spans="1:6" ht="26.25" thickBot="1" x14ac:dyDescent="0.3">
      <c r="A12" s="38" t="s">
        <v>2</v>
      </c>
      <c r="B12" s="317" t="s">
        <v>155</v>
      </c>
      <c r="C12" s="318"/>
      <c r="D12" s="319"/>
      <c r="E12" s="12"/>
      <c r="F12" s="181" t="s">
        <v>444</v>
      </c>
    </row>
    <row r="13" spans="1:6" ht="15.75" thickTop="1" x14ac:dyDescent="0.25">
      <c r="A13" s="37" t="s">
        <v>3</v>
      </c>
      <c r="B13" s="314" t="s">
        <v>157</v>
      </c>
      <c r="C13" s="315"/>
      <c r="D13" s="316"/>
      <c r="E13" s="12"/>
      <c r="F13" s="180" t="s">
        <v>337</v>
      </c>
    </row>
    <row r="14" spans="1:6" x14ac:dyDescent="0.25">
      <c r="A14" s="37" t="s">
        <v>4</v>
      </c>
      <c r="B14" s="314" t="s">
        <v>227</v>
      </c>
      <c r="C14" s="315"/>
      <c r="D14" s="316"/>
      <c r="E14" s="12"/>
      <c r="F14" s="180" t="s">
        <v>398</v>
      </c>
    </row>
    <row r="15" spans="1:6" ht="15.75" thickBot="1" x14ac:dyDescent="0.3">
      <c r="A15" s="39" t="s">
        <v>5</v>
      </c>
      <c r="B15" s="317" t="s">
        <v>158</v>
      </c>
      <c r="C15" s="318"/>
      <c r="D15" s="319"/>
      <c r="E15" s="12"/>
      <c r="F15" s="182" t="s">
        <v>445</v>
      </c>
    </row>
    <row r="16" spans="1:6" ht="27.95" customHeight="1" thickTop="1" x14ac:dyDescent="0.25">
      <c r="A16" s="37" t="s">
        <v>101</v>
      </c>
      <c r="B16" s="320" t="s">
        <v>226</v>
      </c>
      <c r="C16" s="321"/>
      <c r="D16" s="322"/>
      <c r="E16" s="12"/>
      <c r="F16" s="183">
        <v>100</v>
      </c>
    </row>
    <row r="17" spans="1:6" ht="27.6" customHeight="1" thickBot="1" x14ac:dyDescent="0.3">
      <c r="A17" s="39" t="s">
        <v>43</v>
      </c>
      <c r="B17" s="317" t="s">
        <v>225</v>
      </c>
      <c r="C17" s="318"/>
      <c r="D17" s="319"/>
      <c r="E17" s="12"/>
      <c r="F17" s="182" t="s">
        <v>446</v>
      </c>
    </row>
    <row r="18" spans="1:6" ht="16.5" thickTop="1" thickBot="1" x14ac:dyDescent="0.3"/>
    <row r="19" spans="1:6" ht="16.5" thickBot="1" x14ac:dyDescent="0.3">
      <c r="A19" s="335" t="s">
        <v>150</v>
      </c>
      <c r="B19" s="336"/>
      <c r="C19" s="336"/>
      <c r="D19" s="337"/>
      <c r="E19" s="30"/>
      <c r="F19" s="208" t="s">
        <v>392</v>
      </c>
    </row>
    <row r="20" spans="1:6" ht="15.75" thickBot="1" x14ac:dyDescent="0.3">
      <c r="A20" s="49" t="s">
        <v>6</v>
      </c>
      <c r="B20" s="25" t="s">
        <v>165</v>
      </c>
      <c r="C20" s="27"/>
      <c r="D20" s="42"/>
      <c r="E20" s="31"/>
      <c r="F20" s="246" t="s">
        <v>184</v>
      </c>
    </row>
    <row r="21" spans="1:6" ht="26.1" customHeight="1" x14ac:dyDescent="0.25">
      <c r="A21" s="40" t="s">
        <v>42</v>
      </c>
      <c r="B21" s="338" t="s">
        <v>161</v>
      </c>
      <c r="C21" s="339"/>
      <c r="D21" s="340"/>
      <c r="F21" s="271">
        <f>395685.53*('PPI Adj'!D6)</f>
        <v>461765.01351000002</v>
      </c>
    </row>
    <row r="22" spans="1:6" ht="26.25" thickBot="1" x14ac:dyDescent="0.3">
      <c r="A22" s="41" t="s">
        <v>41</v>
      </c>
      <c r="B22" s="359" t="s">
        <v>163</v>
      </c>
      <c r="C22" s="360"/>
      <c r="D22" s="361"/>
      <c r="F22" s="188">
        <v>20</v>
      </c>
    </row>
    <row r="23" spans="1:6" ht="15.75" thickBot="1" x14ac:dyDescent="0.3"/>
    <row r="24" spans="1:6" ht="15.95" customHeight="1" thickBot="1" x14ac:dyDescent="0.3">
      <c r="A24" s="362" t="s">
        <v>164</v>
      </c>
      <c r="B24" s="363"/>
      <c r="C24" s="363"/>
      <c r="D24" s="364"/>
      <c r="E24" s="32"/>
      <c r="F24" s="208" t="s">
        <v>392</v>
      </c>
    </row>
    <row r="25" spans="1:6" ht="15" customHeight="1" thickBot="1" x14ac:dyDescent="0.3">
      <c r="A25" s="49" t="s">
        <v>6</v>
      </c>
      <c r="B25" s="50" t="s">
        <v>7</v>
      </c>
      <c r="C25" s="365" t="s">
        <v>165</v>
      </c>
      <c r="D25" s="366"/>
      <c r="E25" s="33"/>
      <c r="F25" s="246" t="s">
        <v>184</v>
      </c>
    </row>
    <row r="26" spans="1:6" ht="79.5" customHeight="1" thickBot="1" x14ac:dyDescent="0.3">
      <c r="A26" s="43" t="s">
        <v>8</v>
      </c>
      <c r="B26" s="23" t="s">
        <v>257</v>
      </c>
      <c r="C26" s="341" t="s">
        <v>118</v>
      </c>
      <c r="D26" s="342"/>
      <c r="E26" s="28"/>
      <c r="F26" s="193">
        <v>29000</v>
      </c>
    </row>
    <row r="27" spans="1:6" x14ac:dyDescent="0.25">
      <c r="A27" s="343" t="s">
        <v>21</v>
      </c>
      <c r="B27" s="345" t="s">
        <v>261</v>
      </c>
      <c r="C27" s="347" t="s">
        <v>67</v>
      </c>
      <c r="D27" s="348"/>
      <c r="E27" s="28"/>
      <c r="F27" s="192">
        <v>11</v>
      </c>
    </row>
    <row r="28" spans="1:6" ht="15" customHeight="1" thickBot="1" x14ac:dyDescent="0.3">
      <c r="A28" s="344"/>
      <c r="B28" s="346"/>
      <c r="C28" s="341" t="s">
        <v>68</v>
      </c>
      <c r="D28" s="342"/>
      <c r="E28" s="28"/>
      <c r="F28" s="184">
        <v>64</v>
      </c>
    </row>
    <row r="29" spans="1:6" ht="15.75" thickBot="1" x14ac:dyDescent="0.3">
      <c r="A29" s="44" t="s">
        <v>123</v>
      </c>
      <c r="B29" s="24" t="s">
        <v>108</v>
      </c>
      <c r="C29" s="357"/>
      <c r="D29" s="358"/>
      <c r="E29" s="29"/>
      <c r="F29" s="193"/>
    </row>
    <row r="30" spans="1:6" ht="14.45" customHeight="1" x14ac:dyDescent="0.25">
      <c r="A30" s="343" t="s">
        <v>59</v>
      </c>
      <c r="B30" s="345"/>
      <c r="C30" s="347" t="s">
        <v>58</v>
      </c>
      <c r="D30" s="348"/>
      <c r="E30" s="28"/>
      <c r="F30" s="192" t="s">
        <v>310</v>
      </c>
    </row>
    <row r="31" spans="1:6" ht="14.45" customHeight="1" x14ac:dyDescent="0.25">
      <c r="A31" s="351"/>
      <c r="B31" s="352"/>
      <c r="C31" s="353" t="s">
        <v>57</v>
      </c>
      <c r="D31" s="354"/>
      <c r="E31" s="28"/>
      <c r="F31" s="180">
        <v>419.7</v>
      </c>
    </row>
    <row r="32" spans="1:6" ht="14.45" customHeight="1" x14ac:dyDescent="0.25">
      <c r="A32" s="351"/>
      <c r="B32" s="352"/>
      <c r="C32" s="353" t="s">
        <v>69</v>
      </c>
      <c r="D32" s="354"/>
      <c r="E32" s="28"/>
      <c r="F32" s="180">
        <v>90</v>
      </c>
    </row>
    <row r="33" spans="1:6" ht="14.45" customHeight="1" x14ac:dyDescent="0.25">
      <c r="A33" s="351"/>
      <c r="B33" s="352"/>
      <c r="C33" s="355" t="s">
        <v>70</v>
      </c>
      <c r="D33" s="356"/>
      <c r="E33" s="28"/>
      <c r="F33" s="180">
        <v>78</v>
      </c>
    </row>
    <row r="34" spans="1:6" ht="15" customHeight="1" thickBot="1" x14ac:dyDescent="0.3">
      <c r="A34" s="344"/>
      <c r="B34" s="346"/>
      <c r="C34" s="341" t="s">
        <v>111</v>
      </c>
      <c r="D34" s="342"/>
      <c r="E34" s="28"/>
      <c r="F34" s="184">
        <v>376</v>
      </c>
    </row>
    <row r="35" spans="1:6" ht="15.75" thickBot="1" x14ac:dyDescent="0.3">
      <c r="A35" s="43" t="s">
        <v>224</v>
      </c>
      <c r="B35" s="24" t="s">
        <v>223</v>
      </c>
      <c r="C35" s="357"/>
      <c r="D35" s="358"/>
      <c r="E35" s="29"/>
      <c r="F35" s="193"/>
    </row>
    <row r="36" spans="1:6" ht="14.45" customHeight="1" x14ac:dyDescent="0.25">
      <c r="A36" s="343" t="s">
        <v>11</v>
      </c>
      <c r="B36" s="345"/>
      <c r="C36" s="347" t="s">
        <v>24</v>
      </c>
      <c r="D36" s="348"/>
      <c r="E36" s="28"/>
      <c r="F36" s="192">
        <v>10000</v>
      </c>
    </row>
    <row r="37" spans="1:6" ht="15" customHeight="1" thickBot="1" x14ac:dyDescent="0.3">
      <c r="A37" s="344"/>
      <c r="B37" s="346"/>
      <c r="C37" s="341" t="s">
        <v>22</v>
      </c>
      <c r="D37" s="342"/>
      <c r="E37" s="28"/>
      <c r="F37" s="184">
        <v>10000</v>
      </c>
    </row>
    <row r="38" spans="1:6" ht="14.45" customHeight="1" x14ac:dyDescent="0.25">
      <c r="A38" s="343" t="s">
        <v>16</v>
      </c>
      <c r="B38" s="345"/>
      <c r="C38" s="347" t="s">
        <v>24</v>
      </c>
      <c r="D38" s="348"/>
      <c r="E38" s="28"/>
      <c r="F38" s="192">
        <v>19000</v>
      </c>
    </row>
    <row r="39" spans="1:6" ht="15" customHeight="1" thickBot="1" x14ac:dyDescent="0.3">
      <c r="A39" s="344"/>
      <c r="B39" s="346"/>
      <c r="C39" s="349" t="s">
        <v>23</v>
      </c>
      <c r="D39" s="350"/>
      <c r="E39" s="28"/>
      <c r="F39" s="184">
        <v>19000</v>
      </c>
    </row>
    <row r="40" spans="1:6" ht="15.75" thickBot="1" x14ac:dyDescent="0.3">
      <c r="A40" s="44" t="s">
        <v>52</v>
      </c>
      <c r="B40" s="24" t="s">
        <v>53</v>
      </c>
      <c r="C40" s="357"/>
      <c r="D40" s="358"/>
      <c r="E40" s="29"/>
      <c r="F40" s="193"/>
    </row>
    <row r="41" spans="1:6" ht="14.45" customHeight="1" x14ac:dyDescent="0.25">
      <c r="A41" s="343" t="s">
        <v>219</v>
      </c>
      <c r="B41" s="345" t="s">
        <v>222</v>
      </c>
      <c r="C41" s="347" t="s">
        <v>221</v>
      </c>
      <c r="D41" s="348"/>
      <c r="E41" s="28"/>
      <c r="F41" s="192" t="s">
        <v>447</v>
      </c>
    </row>
    <row r="42" spans="1:6" ht="14.45" customHeight="1" x14ac:dyDescent="0.25">
      <c r="A42" s="351"/>
      <c r="B42" s="352"/>
      <c r="C42" s="353" t="s">
        <v>220</v>
      </c>
      <c r="D42" s="354"/>
      <c r="E42" s="28"/>
      <c r="F42" s="180" t="s">
        <v>428</v>
      </c>
    </row>
    <row r="43" spans="1:6" ht="78" customHeight="1" thickBot="1" x14ac:dyDescent="0.3">
      <c r="A43" s="344"/>
      <c r="B43" s="352"/>
      <c r="C43" s="349"/>
      <c r="D43" s="350"/>
      <c r="E43" s="28"/>
      <c r="F43" s="179"/>
    </row>
    <row r="44" spans="1:6" ht="30.95" customHeight="1" thickBot="1" x14ac:dyDescent="0.3">
      <c r="A44" s="43" t="s">
        <v>219</v>
      </c>
      <c r="B44" s="24" t="s">
        <v>218</v>
      </c>
      <c r="C44" s="357"/>
      <c r="D44" s="358"/>
      <c r="E44" s="29"/>
      <c r="F44" s="193"/>
    </row>
    <row r="45" spans="1:6" ht="15" customHeight="1" thickBot="1" x14ac:dyDescent="0.3">
      <c r="A45" s="343" t="s">
        <v>12</v>
      </c>
      <c r="B45" s="368" t="s">
        <v>142</v>
      </c>
      <c r="C45" s="347" t="s">
        <v>174</v>
      </c>
      <c r="D45" s="348"/>
      <c r="E45" s="28"/>
      <c r="F45" s="192" t="s">
        <v>448</v>
      </c>
    </row>
    <row r="46" spans="1:6" ht="15" customHeight="1" thickBot="1" x14ac:dyDescent="0.3">
      <c r="A46" s="351"/>
      <c r="B46" s="368"/>
      <c r="C46" s="353" t="s">
        <v>175</v>
      </c>
      <c r="D46" s="354"/>
      <c r="E46" s="28"/>
      <c r="F46" s="180">
        <v>5840</v>
      </c>
    </row>
    <row r="47" spans="1:6" ht="15" customHeight="1" thickBot="1" x14ac:dyDescent="0.3">
      <c r="A47" s="351"/>
      <c r="B47" s="368"/>
      <c r="C47" s="353" t="s">
        <v>176</v>
      </c>
      <c r="D47" s="354"/>
      <c r="E47" s="28"/>
      <c r="F47" s="209" t="s">
        <v>448</v>
      </c>
    </row>
    <row r="48" spans="1:6" ht="15" customHeight="1" thickBot="1" x14ac:dyDescent="0.3">
      <c r="A48" s="351"/>
      <c r="B48" s="368"/>
      <c r="C48" s="353" t="s">
        <v>177</v>
      </c>
      <c r="D48" s="354"/>
      <c r="E48" s="28"/>
      <c r="F48" s="180">
        <v>5840</v>
      </c>
    </row>
    <row r="49" spans="1:6" ht="15" customHeight="1" thickBot="1" x14ac:dyDescent="0.3">
      <c r="A49" s="351"/>
      <c r="B49" s="368"/>
      <c r="C49" s="353" t="s">
        <v>112</v>
      </c>
      <c r="D49" s="354"/>
      <c r="E49" s="28"/>
      <c r="F49" s="180" t="s">
        <v>449</v>
      </c>
    </row>
    <row r="50" spans="1:6" ht="15" customHeight="1" thickBot="1" x14ac:dyDescent="0.3">
      <c r="A50" s="351"/>
      <c r="B50" s="368"/>
      <c r="C50" s="353" t="s">
        <v>113</v>
      </c>
      <c r="D50" s="354"/>
      <c r="E50" s="28"/>
      <c r="F50" s="180" t="s">
        <v>450</v>
      </c>
    </row>
    <row r="51" spans="1:6" ht="15" customHeight="1" thickBot="1" x14ac:dyDescent="0.3">
      <c r="A51" s="351"/>
      <c r="B51" s="368"/>
      <c r="C51" s="355" t="s">
        <v>114</v>
      </c>
      <c r="D51" s="356"/>
      <c r="E51" s="28"/>
      <c r="F51" s="180" t="s">
        <v>451</v>
      </c>
    </row>
    <row r="52" spans="1:6" ht="15" customHeight="1" thickBot="1" x14ac:dyDescent="0.3">
      <c r="A52" s="344"/>
      <c r="B52" s="368"/>
      <c r="C52" s="341" t="s">
        <v>115</v>
      </c>
      <c r="D52" s="342"/>
      <c r="E52" s="28"/>
      <c r="F52" s="184" t="s">
        <v>452</v>
      </c>
    </row>
    <row r="53" spans="1:6" ht="14.45" customHeight="1" x14ac:dyDescent="0.25">
      <c r="A53" s="343" t="s">
        <v>10</v>
      </c>
      <c r="B53" s="345" t="s">
        <v>217</v>
      </c>
      <c r="C53" s="347" t="s">
        <v>116</v>
      </c>
      <c r="D53" s="348"/>
      <c r="E53" s="28"/>
      <c r="F53" s="192">
        <v>2</v>
      </c>
    </row>
    <row r="54" spans="1:6" ht="14.45" customHeight="1" x14ac:dyDescent="0.25">
      <c r="A54" s="351"/>
      <c r="B54" s="352"/>
      <c r="C54" s="353" t="s">
        <v>117</v>
      </c>
      <c r="D54" s="354"/>
      <c r="E54" s="28"/>
      <c r="F54" s="180" t="s">
        <v>197</v>
      </c>
    </row>
    <row r="55" spans="1:6" ht="15" customHeight="1" thickBot="1" x14ac:dyDescent="0.3">
      <c r="A55" s="344"/>
      <c r="B55" s="352"/>
      <c r="C55" s="349" t="s">
        <v>71</v>
      </c>
      <c r="D55" s="350"/>
      <c r="E55" s="28"/>
      <c r="F55" s="179" t="s">
        <v>453</v>
      </c>
    </row>
    <row r="56" spans="1:6" ht="78" customHeight="1" thickBot="1" x14ac:dyDescent="0.3">
      <c r="A56" s="45" t="s">
        <v>185</v>
      </c>
      <c r="B56" s="22" t="s">
        <v>186</v>
      </c>
      <c r="C56" s="355" t="s">
        <v>187</v>
      </c>
      <c r="D56" s="356"/>
      <c r="E56" s="28"/>
      <c r="F56" s="192">
        <v>136</v>
      </c>
    </row>
    <row r="57" spans="1:6" ht="52.5" customHeight="1" x14ac:dyDescent="0.25">
      <c r="A57" s="343" t="s">
        <v>26</v>
      </c>
      <c r="B57" s="345" t="s">
        <v>251</v>
      </c>
      <c r="C57" s="347" t="s">
        <v>188</v>
      </c>
      <c r="D57" s="348"/>
      <c r="E57" s="28"/>
      <c r="F57" s="192">
        <v>2</v>
      </c>
    </row>
    <row r="58" spans="1:6" ht="14.45" customHeight="1" x14ac:dyDescent="0.25">
      <c r="A58" s="351"/>
      <c r="B58" s="352"/>
      <c r="C58" s="353" t="s">
        <v>189</v>
      </c>
      <c r="D58" s="354"/>
      <c r="E58" s="28"/>
      <c r="F58" s="180" t="s">
        <v>454</v>
      </c>
    </row>
    <row r="59" spans="1:6" ht="15" customHeight="1" thickBot="1" x14ac:dyDescent="0.3">
      <c r="A59" s="344"/>
      <c r="B59" s="346"/>
      <c r="C59" s="341" t="s">
        <v>190</v>
      </c>
      <c r="D59" s="342"/>
      <c r="E59" s="28"/>
      <c r="F59" s="184" t="s">
        <v>376</v>
      </c>
    </row>
    <row r="60" spans="1:6" ht="15.75" thickBot="1" x14ac:dyDescent="0.3">
      <c r="A60" s="44" t="s">
        <v>44</v>
      </c>
      <c r="B60" s="24" t="s">
        <v>45</v>
      </c>
      <c r="C60" s="357"/>
      <c r="D60" s="358"/>
      <c r="E60" s="29"/>
      <c r="F60" s="196"/>
    </row>
    <row r="61" spans="1:6" ht="28.5" customHeight="1" thickBot="1" x14ac:dyDescent="0.3">
      <c r="A61" s="44" t="s">
        <v>44</v>
      </c>
      <c r="B61" s="24" t="s">
        <v>63</v>
      </c>
      <c r="C61" s="357"/>
      <c r="D61" s="358"/>
      <c r="E61" s="29"/>
      <c r="F61" s="196"/>
    </row>
    <row r="62" spans="1:6" ht="27" customHeight="1" thickBot="1" x14ac:dyDescent="0.3">
      <c r="A62" s="44" t="s">
        <v>44</v>
      </c>
      <c r="B62" s="24" t="s">
        <v>64</v>
      </c>
      <c r="C62" s="357"/>
      <c r="D62" s="358"/>
      <c r="E62" s="29"/>
      <c r="F62" s="196"/>
    </row>
    <row r="63" spans="1:6" ht="30.95" customHeight="1" thickBot="1" x14ac:dyDescent="0.3">
      <c r="A63" s="44" t="s">
        <v>50</v>
      </c>
      <c r="B63" s="24" t="s">
        <v>216</v>
      </c>
      <c r="C63" s="357"/>
      <c r="D63" s="358"/>
      <c r="E63" s="29"/>
      <c r="F63" s="196"/>
    </row>
    <row r="64" spans="1:6" ht="16.5" customHeight="1" thickBot="1" x14ac:dyDescent="0.3">
      <c r="A64" s="44" t="s">
        <v>27</v>
      </c>
      <c r="B64" s="24" t="s">
        <v>215</v>
      </c>
      <c r="C64" s="369" t="s">
        <v>77</v>
      </c>
      <c r="D64" s="370"/>
      <c r="E64" s="28"/>
      <c r="F64" s="193" t="s">
        <v>455</v>
      </c>
    </row>
    <row r="65" spans="1:6" ht="53.45" customHeight="1" thickBot="1" x14ac:dyDescent="0.3">
      <c r="A65" s="43" t="s">
        <v>214</v>
      </c>
      <c r="B65" s="24" t="s">
        <v>213</v>
      </c>
      <c r="C65" s="369"/>
      <c r="D65" s="370"/>
      <c r="E65" s="28"/>
      <c r="F65" s="193"/>
    </row>
    <row r="66" spans="1:6" ht="42.6" customHeight="1" thickBot="1" x14ac:dyDescent="0.3">
      <c r="A66" s="44" t="s">
        <v>51</v>
      </c>
      <c r="B66" s="24" t="s">
        <v>212</v>
      </c>
      <c r="C66" s="357"/>
      <c r="D66" s="358"/>
      <c r="E66" s="29"/>
      <c r="F66" s="193"/>
    </row>
    <row r="67" spans="1:6" ht="40.5" customHeight="1" thickBot="1" x14ac:dyDescent="0.3">
      <c r="A67" s="44" t="s">
        <v>54</v>
      </c>
      <c r="B67" s="24" t="s">
        <v>80</v>
      </c>
      <c r="C67" s="357"/>
      <c r="D67" s="358"/>
      <c r="E67" s="29"/>
      <c r="F67" s="193"/>
    </row>
    <row r="68" spans="1:6" ht="90" thickBot="1" x14ac:dyDescent="0.3">
      <c r="A68" s="44" t="s">
        <v>29</v>
      </c>
      <c r="B68" s="24" t="s">
        <v>211</v>
      </c>
      <c r="C68" s="357"/>
      <c r="D68" s="358"/>
      <c r="E68" s="29"/>
      <c r="F68" s="193"/>
    </row>
    <row r="69" spans="1:6" ht="54.6" customHeight="1" thickBot="1" x14ac:dyDescent="0.3">
      <c r="A69" s="44" t="s">
        <v>31</v>
      </c>
      <c r="B69" s="24" t="s">
        <v>210</v>
      </c>
      <c r="C69" s="369" t="s">
        <v>30</v>
      </c>
      <c r="D69" s="370"/>
      <c r="E69" s="28"/>
      <c r="F69" s="193" t="s">
        <v>411</v>
      </c>
    </row>
    <row r="70" spans="1:6" ht="30" customHeight="1" thickBot="1" x14ac:dyDescent="0.3">
      <c r="A70" s="44" t="s">
        <v>55</v>
      </c>
      <c r="B70" s="24" t="s">
        <v>95</v>
      </c>
      <c r="C70" s="357"/>
      <c r="D70" s="358"/>
      <c r="E70" s="29"/>
      <c r="F70" s="193" t="s">
        <v>456</v>
      </c>
    </row>
    <row r="71" spans="1:6" ht="28.5" customHeight="1" thickBot="1" x14ac:dyDescent="0.3">
      <c r="A71" s="44" t="s">
        <v>32</v>
      </c>
      <c r="B71" s="24" t="s">
        <v>96</v>
      </c>
      <c r="C71" s="369" t="s">
        <v>30</v>
      </c>
      <c r="D71" s="370"/>
      <c r="E71" s="28"/>
      <c r="F71" s="193" t="s">
        <v>412</v>
      </c>
    </row>
    <row r="72" spans="1:6" ht="42.6" customHeight="1" thickBot="1" x14ac:dyDescent="0.3">
      <c r="A72" s="44" t="s">
        <v>56</v>
      </c>
      <c r="B72" s="24" t="s">
        <v>167</v>
      </c>
      <c r="C72" s="357"/>
      <c r="D72" s="358"/>
      <c r="E72" s="29"/>
      <c r="F72" s="193"/>
    </row>
    <row r="73" spans="1:6" ht="28.5" customHeight="1" thickBot="1" x14ac:dyDescent="0.3">
      <c r="A73" s="44" t="s">
        <v>48</v>
      </c>
      <c r="B73" s="24" t="s">
        <v>47</v>
      </c>
      <c r="C73" s="357"/>
      <c r="D73" s="358"/>
      <c r="E73" s="29"/>
      <c r="F73" s="193"/>
    </row>
    <row r="74" spans="1:6" ht="31.5" customHeight="1" thickBot="1" x14ac:dyDescent="0.3">
      <c r="A74" s="44" t="s">
        <v>49</v>
      </c>
      <c r="B74" s="24" t="s">
        <v>103</v>
      </c>
      <c r="C74" s="357" t="s">
        <v>198</v>
      </c>
      <c r="D74" s="358"/>
      <c r="E74" s="29"/>
      <c r="F74" s="193" t="s">
        <v>457</v>
      </c>
    </row>
    <row r="75" spans="1:6" ht="26.25" thickBot="1" x14ac:dyDescent="0.3">
      <c r="A75" s="44" t="s">
        <v>46</v>
      </c>
      <c r="B75" s="24" t="s">
        <v>81</v>
      </c>
      <c r="C75" s="357"/>
      <c r="D75" s="358"/>
      <c r="E75" s="29"/>
      <c r="F75" s="193"/>
    </row>
    <row r="76" spans="1:6" ht="15.75" thickBot="1" x14ac:dyDescent="0.3"/>
    <row r="77" spans="1:6" ht="15.95" customHeight="1" thickBot="1" x14ac:dyDescent="0.3">
      <c r="A77" s="362" t="s">
        <v>168</v>
      </c>
      <c r="B77" s="363"/>
      <c r="C77" s="363"/>
      <c r="D77" s="364"/>
      <c r="E77" s="32"/>
      <c r="F77" s="208" t="s">
        <v>392</v>
      </c>
    </row>
    <row r="78" spans="1:6" ht="15" customHeight="1" thickBot="1" x14ac:dyDescent="0.3">
      <c r="A78" s="371" t="s">
        <v>169</v>
      </c>
      <c r="B78" s="372"/>
      <c r="C78" s="372"/>
      <c r="D78" s="373"/>
      <c r="E78" s="33"/>
      <c r="F78" s="246" t="s">
        <v>184</v>
      </c>
    </row>
    <row r="79" spans="1:6" ht="14.45" customHeight="1" x14ac:dyDescent="0.25">
      <c r="A79" s="374" t="s">
        <v>83</v>
      </c>
      <c r="B79" s="375"/>
      <c r="C79" s="375"/>
      <c r="D79" s="376"/>
      <c r="F79" s="251">
        <f>-1010*('PPI Adj'!D6)</f>
        <v>-1178.67</v>
      </c>
    </row>
    <row r="80" spans="1:6" ht="14.45" customHeight="1" x14ac:dyDescent="0.25">
      <c r="A80" s="377" t="s">
        <v>34</v>
      </c>
      <c r="B80" s="378"/>
      <c r="C80" s="378"/>
      <c r="D80" s="379"/>
      <c r="F80" s="252">
        <f>947*('PPI Adj'!D6)</f>
        <v>1105.1490000000001</v>
      </c>
    </row>
    <row r="81" spans="1:6" x14ac:dyDescent="0.25">
      <c r="A81" s="377" t="s">
        <v>35</v>
      </c>
      <c r="B81" s="378"/>
      <c r="C81" s="378"/>
      <c r="D81" s="379"/>
      <c r="F81" s="252">
        <f>452*('PPI Adj'!D6)</f>
        <v>527.48400000000004</v>
      </c>
    </row>
    <row r="82" spans="1:6" x14ac:dyDescent="0.25">
      <c r="A82" s="377" t="s">
        <v>36</v>
      </c>
      <c r="B82" s="378"/>
      <c r="C82" s="378"/>
      <c r="D82" s="379"/>
      <c r="F82" s="252">
        <f>477.6*('PPI Adj'!D6)</f>
        <v>557.3592000000001</v>
      </c>
    </row>
    <row r="83" spans="1:6" ht="14.45" customHeight="1" x14ac:dyDescent="0.25">
      <c r="A83" s="377" t="s">
        <v>209</v>
      </c>
      <c r="B83" s="378"/>
      <c r="C83" s="378"/>
      <c r="D83" s="379"/>
      <c r="F83" s="252">
        <f>86*('PPI Adj'!D6)</f>
        <v>100.36200000000001</v>
      </c>
    </row>
    <row r="84" spans="1:6" x14ac:dyDescent="0.25">
      <c r="A84" s="377" t="s">
        <v>208</v>
      </c>
      <c r="B84" s="378"/>
      <c r="C84" s="378"/>
      <c r="D84" s="379"/>
      <c r="F84" s="252">
        <f>1419*('PPI Adj'!D6)</f>
        <v>1655.973</v>
      </c>
    </row>
    <row r="85" spans="1:6" ht="14.45" customHeight="1" x14ac:dyDescent="0.25">
      <c r="A85" s="377" t="s">
        <v>86</v>
      </c>
      <c r="B85" s="378"/>
      <c r="C85" s="378"/>
      <c r="D85" s="379"/>
      <c r="F85" s="252">
        <f>856*('PPI Adj'!D6)</f>
        <v>998.952</v>
      </c>
    </row>
    <row r="86" spans="1:6" ht="14.45" customHeight="1" x14ac:dyDescent="0.25">
      <c r="A86" s="377" t="s">
        <v>85</v>
      </c>
      <c r="B86" s="378"/>
      <c r="C86" s="378"/>
      <c r="D86" s="379"/>
      <c r="F86" s="252">
        <f>8686*('PPI Adj'!D6)</f>
        <v>10136.562</v>
      </c>
    </row>
    <row r="87" spans="1:6" x14ac:dyDescent="0.25">
      <c r="A87" s="377" t="s">
        <v>13</v>
      </c>
      <c r="B87" s="378"/>
      <c r="C87" s="378"/>
      <c r="D87" s="379"/>
      <c r="F87" s="252">
        <f>10801*('PPI Adj'!D6)</f>
        <v>12604.767</v>
      </c>
    </row>
    <row r="88" spans="1:6" ht="14.45" customHeight="1" x14ac:dyDescent="0.25">
      <c r="A88" s="377" t="s">
        <v>37</v>
      </c>
      <c r="B88" s="378"/>
      <c r="C88" s="378"/>
      <c r="D88" s="379"/>
      <c r="F88" s="252">
        <v>595</v>
      </c>
    </row>
    <row r="89" spans="1:6" x14ac:dyDescent="0.25">
      <c r="A89" s="377" t="s">
        <v>38</v>
      </c>
      <c r="B89" s="378"/>
      <c r="C89" s="378"/>
      <c r="D89" s="379"/>
      <c r="F89" s="252">
        <f>583*('PPI Adj'!D6)</f>
        <v>680.36099999999999</v>
      </c>
    </row>
    <row r="90" spans="1:6" x14ac:dyDescent="0.25">
      <c r="A90" s="377" t="s">
        <v>201</v>
      </c>
      <c r="B90" s="378"/>
      <c r="C90" s="378"/>
      <c r="D90" s="379"/>
      <c r="F90" s="252" t="s">
        <v>183</v>
      </c>
    </row>
    <row r="91" spans="1:6" x14ac:dyDescent="0.25">
      <c r="A91" s="377" t="s">
        <v>39</v>
      </c>
      <c r="B91" s="378"/>
      <c r="C91" s="378"/>
      <c r="D91" s="379"/>
      <c r="F91" s="252">
        <f>472*('PPI Adj'!D6)</f>
        <v>550.82400000000007</v>
      </c>
    </row>
    <row r="92" spans="1:6" x14ac:dyDescent="0.25">
      <c r="A92" s="377" t="s">
        <v>40</v>
      </c>
      <c r="B92" s="378"/>
      <c r="C92" s="378"/>
      <c r="D92" s="379"/>
      <c r="F92" s="252">
        <f>389*('PPI Adj'!D6)</f>
        <v>453.96300000000002</v>
      </c>
    </row>
    <row r="93" spans="1:6" x14ac:dyDescent="0.25">
      <c r="A93" s="377" t="s">
        <v>14</v>
      </c>
      <c r="B93" s="378"/>
      <c r="C93" s="378"/>
      <c r="D93" s="379"/>
      <c r="F93" s="252">
        <f>38127*('PPI Adj'!D6)</f>
        <v>44494.209000000003</v>
      </c>
    </row>
    <row r="94" spans="1:6" ht="14.45" customHeight="1" x14ac:dyDescent="0.25">
      <c r="A94" s="377" t="s">
        <v>91</v>
      </c>
      <c r="B94" s="378"/>
      <c r="C94" s="378"/>
      <c r="D94" s="379"/>
      <c r="F94" s="252">
        <f>1971*('PPI Adj'!D6)</f>
        <v>2300.1570000000002</v>
      </c>
    </row>
    <row r="95" spans="1:6" ht="15" customHeight="1" thickBot="1" x14ac:dyDescent="0.3">
      <c r="A95" s="380" t="s">
        <v>92</v>
      </c>
      <c r="B95" s="381"/>
      <c r="C95" s="381"/>
      <c r="D95" s="382"/>
      <c r="F95" s="254">
        <f>-2023*('PPI Adj'!D6)</f>
        <v>-2360.8409999999999</v>
      </c>
    </row>
    <row r="96" spans="1:6" ht="15.75" thickBot="1" x14ac:dyDescent="0.3"/>
    <row r="97" spans="1:6" ht="15.95" customHeight="1" thickBot="1" x14ac:dyDescent="0.3">
      <c r="A97" s="362" t="s">
        <v>166</v>
      </c>
      <c r="B97" s="363"/>
      <c r="C97" s="363"/>
      <c r="D97" s="364"/>
      <c r="E97" s="32"/>
      <c r="F97" s="208" t="s">
        <v>392</v>
      </c>
    </row>
    <row r="98" spans="1:6" ht="15" customHeight="1" thickBot="1" x14ac:dyDescent="0.3">
      <c r="A98" s="46" t="s">
        <v>33</v>
      </c>
      <c r="B98" s="18" t="s">
        <v>7</v>
      </c>
      <c r="C98" s="386" t="s">
        <v>165</v>
      </c>
      <c r="D98" s="387"/>
      <c r="E98" s="33"/>
      <c r="F98" s="246" t="s">
        <v>184</v>
      </c>
    </row>
    <row r="99" spans="1:6" ht="41.1" customHeight="1" thickBot="1" x14ac:dyDescent="0.3">
      <c r="A99" s="47" t="s">
        <v>83</v>
      </c>
      <c r="B99" s="17" t="s">
        <v>146</v>
      </c>
      <c r="C99" s="388"/>
      <c r="D99" s="389"/>
      <c r="F99" s="193"/>
    </row>
    <row r="100" spans="1:6" ht="26.25" thickBot="1" x14ac:dyDescent="0.3">
      <c r="A100" s="44" t="s">
        <v>34</v>
      </c>
      <c r="B100" s="24" t="s">
        <v>107</v>
      </c>
      <c r="C100" s="369" t="s">
        <v>30</v>
      </c>
      <c r="D100" s="370"/>
      <c r="F100" s="193" t="s">
        <v>352</v>
      </c>
    </row>
    <row r="101" spans="1:6" ht="53.1" customHeight="1" thickBot="1" x14ac:dyDescent="0.3">
      <c r="A101" s="44" t="s">
        <v>35</v>
      </c>
      <c r="B101" s="24" t="s">
        <v>97</v>
      </c>
      <c r="C101" s="357"/>
      <c r="D101" s="358"/>
      <c r="F101" s="193"/>
    </row>
    <row r="102" spans="1:6" ht="27.95" customHeight="1" thickBot="1" x14ac:dyDescent="0.3">
      <c r="A102" s="44" t="s">
        <v>36</v>
      </c>
      <c r="B102" s="24" t="s">
        <v>84</v>
      </c>
      <c r="C102" s="369" t="s">
        <v>99</v>
      </c>
      <c r="D102" s="370"/>
      <c r="F102" s="193" t="s">
        <v>413</v>
      </c>
    </row>
    <row r="103" spans="1:6" ht="14.45" customHeight="1" x14ac:dyDescent="0.25">
      <c r="A103" s="343" t="s">
        <v>60</v>
      </c>
      <c r="B103" s="345" t="s">
        <v>133</v>
      </c>
      <c r="C103" s="347" t="s">
        <v>203</v>
      </c>
      <c r="D103" s="348"/>
      <c r="F103" s="192" t="s">
        <v>416</v>
      </c>
    </row>
    <row r="104" spans="1:6" ht="14.45" customHeight="1" x14ac:dyDescent="0.25">
      <c r="A104" s="351"/>
      <c r="B104" s="352"/>
      <c r="C104" s="353" t="s">
        <v>202</v>
      </c>
      <c r="D104" s="354"/>
      <c r="F104" s="180">
        <v>6005</v>
      </c>
    </row>
    <row r="105" spans="1:6" ht="14.45" customHeight="1" x14ac:dyDescent="0.25">
      <c r="A105" s="351"/>
      <c r="B105" s="352"/>
      <c r="C105" s="353" t="s">
        <v>114</v>
      </c>
      <c r="D105" s="354"/>
      <c r="F105" s="180" t="s">
        <v>458</v>
      </c>
    </row>
    <row r="106" spans="1:6" ht="24.95" customHeight="1" thickBot="1" x14ac:dyDescent="0.3">
      <c r="A106" s="344"/>
      <c r="B106" s="346"/>
      <c r="C106" s="341" t="s">
        <v>115</v>
      </c>
      <c r="D106" s="342"/>
      <c r="F106" s="184" t="s">
        <v>459</v>
      </c>
    </row>
    <row r="107" spans="1:6" ht="14.45" customHeight="1" x14ac:dyDescent="0.25">
      <c r="A107" s="343" t="s">
        <v>61</v>
      </c>
      <c r="B107" s="345" t="s">
        <v>206</v>
      </c>
      <c r="C107" s="347" t="s">
        <v>205</v>
      </c>
      <c r="D107" s="348"/>
      <c r="F107" s="192" t="s">
        <v>416</v>
      </c>
    </row>
    <row r="108" spans="1:6" ht="14.45" customHeight="1" x14ac:dyDescent="0.25">
      <c r="A108" s="351"/>
      <c r="B108" s="352"/>
      <c r="C108" s="353" t="s">
        <v>204</v>
      </c>
      <c r="D108" s="354"/>
      <c r="F108" s="209">
        <v>6610</v>
      </c>
    </row>
    <row r="109" spans="1:6" ht="14.45" customHeight="1" x14ac:dyDescent="0.25">
      <c r="A109" s="351"/>
      <c r="B109" s="352"/>
      <c r="C109" s="353" t="s">
        <v>203</v>
      </c>
      <c r="D109" s="354"/>
      <c r="F109" s="209" t="s">
        <v>416</v>
      </c>
    </row>
    <row r="110" spans="1:6" ht="14.45" customHeight="1" x14ac:dyDescent="0.25">
      <c r="A110" s="351"/>
      <c r="B110" s="352"/>
      <c r="C110" s="353" t="s">
        <v>202</v>
      </c>
      <c r="D110" s="354"/>
      <c r="F110" s="180">
        <v>6005</v>
      </c>
    </row>
    <row r="111" spans="1:6" ht="14.45" customHeight="1" x14ac:dyDescent="0.25">
      <c r="A111" s="351"/>
      <c r="B111" s="352"/>
      <c r="C111" s="353" t="s">
        <v>112</v>
      </c>
      <c r="D111" s="354"/>
      <c r="F111" s="180" t="s">
        <v>417</v>
      </c>
    </row>
    <row r="112" spans="1:6" ht="14.45" customHeight="1" x14ac:dyDescent="0.25">
      <c r="A112" s="351"/>
      <c r="B112" s="352"/>
      <c r="C112" s="353" t="s">
        <v>113</v>
      </c>
      <c r="D112" s="354"/>
      <c r="F112" s="209" t="s">
        <v>418</v>
      </c>
    </row>
    <row r="113" spans="1:6" ht="14.45" customHeight="1" x14ac:dyDescent="0.25">
      <c r="A113" s="351"/>
      <c r="B113" s="352"/>
      <c r="C113" s="353" t="s">
        <v>114</v>
      </c>
      <c r="D113" s="354"/>
      <c r="F113" s="209" t="s">
        <v>419</v>
      </c>
    </row>
    <row r="114" spans="1:6" ht="15" customHeight="1" thickBot="1" x14ac:dyDescent="0.3">
      <c r="A114" s="344"/>
      <c r="B114" s="346"/>
      <c r="C114" s="341" t="s">
        <v>115</v>
      </c>
      <c r="D114" s="342"/>
      <c r="F114" s="184" t="s">
        <v>418</v>
      </c>
    </row>
    <row r="115" spans="1:6" ht="143.44999999999999" customHeight="1" thickBot="1" x14ac:dyDescent="0.3">
      <c r="A115" s="48" t="s">
        <v>86</v>
      </c>
      <c r="B115" s="16" t="s">
        <v>143</v>
      </c>
      <c r="C115" s="369" t="s">
        <v>104</v>
      </c>
      <c r="D115" s="370"/>
      <c r="F115" s="192" t="s">
        <v>420</v>
      </c>
    </row>
    <row r="116" spans="1:6" ht="168.6" customHeight="1" thickBot="1" x14ac:dyDescent="0.3">
      <c r="A116" s="44" t="s">
        <v>85</v>
      </c>
      <c r="B116" s="13" t="s">
        <v>170</v>
      </c>
      <c r="C116" s="369" t="s">
        <v>104</v>
      </c>
      <c r="D116" s="370"/>
      <c r="F116" s="193" t="s">
        <v>421</v>
      </c>
    </row>
    <row r="117" spans="1:6" ht="29.1" customHeight="1" x14ac:dyDescent="0.25">
      <c r="A117" s="343" t="s">
        <v>13</v>
      </c>
      <c r="B117" s="345" t="s">
        <v>98</v>
      </c>
      <c r="C117" s="347" t="s">
        <v>30</v>
      </c>
      <c r="D117" s="348"/>
      <c r="F117" s="192" t="s">
        <v>422</v>
      </c>
    </row>
    <row r="118" spans="1:6" ht="24.6" customHeight="1" thickBot="1" x14ac:dyDescent="0.3">
      <c r="A118" s="344"/>
      <c r="B118" s="346"/>
      <c r="C118" s="341" t="s">
        <v>109</v>
      </c>
      <c r="D118" s="342"/>
      <c r="F118" s="184" t="s">
        <v>460</v>
      </c>
    </row>
    <row r="119" spans="1:6" ht="66" customHeight="1" thickBot="1" x14ac:dyDescent="0.3">
      <c r="A119" s="44" t="s">
        <v>37</v>
      </c>
      <c r="B119" s="24" t="s">
        <v>135</v>
      </c>
      <c r="C119" s="357"/>
      <c r="D119" s="358"/>
      <c r="F119" s="193" t="s">
        <v>378</v>
      </c>
    </row>
    <row r="120" spans="1:6" ht="40.5" customHeight="1" thickBot="1" x14ac:dyDescent="0.3">
      <c r="A120" s="44" t="s">
        <v>38</v>
      </c>
      <c r="B120" s="24" t="s">
        <v>87</v>
      </c>
      <c r="C120" s="357"/>
      <c r="D120" s="358"/>
      <c r="F120" s="193"/>
    </row>
    <row r="121" spans="1:6" ht="15.75" thickBot="1" x14ac:dyDescent="0.3">
      <c r="A121" s="44" t="s">
        <v>201</v>
      </c>
      <c r="B121" s="24" t="s">
        <v>200</v>
      </c>
      <c r="C121" s="369"/>
      <c r="D121" s="370"/>
      <c r="F121" s="193"/>
    </row>
    <row r="122" spans="1:6" ht="27.95" customHeight="1" thickBot="1" x14ac:dyDescent="0.3">
      <c r="A122" s="44" t="s">
        <v>39</v>
      </c>
      <c r="B122" s="24" t="s">
        <v>106</v>
      </c>
      <c r="C122" s="369" t="s">
        <v>105</v>
      </c>
      <c r="D122" s="370"/>
      <c r="F122" s="193" t="s">
        <v>324</v>
      </c>
    </row>
    <row r="123" spans="1:6" ht="26.25" thickBot="1" x14ac:dyDescent="0.3">
      <c r="A123" s="44" t="s">
        <v>40</v>
      </c>
      <c r="B123" s="24" t="s">
        <v>137</v>
      </c>
      <c r="C123" s="369" t="s">
        <v>100</v>
      </c>
      <c r="D123" s="370"/>
      <c r="F123" s="184" t="s">
        <v>363</v>
      </c>
    </row>
    <row r="124" spans="1:6" ht="54.95" customHeight="1" x14ac:dyDescent="0.25">
      <c r="A124" s="343" t="s">
        <v>14</v>
      </c>
      <c r="B124" s="345" t="s">
        <v>138</v>
      </c>
      <c r="C124" s="347" t="s">
        <v>139</v>
      </c>
      <c r="D124" s="528"/>
      <c r="F124" s="192">
        <v>2</v>
      </c>
    </row>
    <row r="125" spans="1:6" ht="54.95" customHeight="1" thickBot="1" x14ac:dyDescent="0.3">
      <c r="A125" s="344"/>
      <c r="B125" s="346"/>
      <c r="C125" s="341" t="s">
        <v>274</v>
      </c>
      <c r="D125" s="529"/>
      <c r="F125" s="184" t="s">
        <v>275</v>
      </c>
    </row>
    <row r="126" spans="1:6" ht="66" customHeight="1" thickBot="1" x14ac:dyDescent="0.3">
      <c r="A126" s="44" t="s">
        <v>91</v>
      </c>
      <c r="B126" s="24" t="s">
        <v>144</v>
      </c>
      <c r="C126" s="369" t="s">
        <v>100</v>
      </c>
      <c r="D126" s="370"/>
      <c r="F126" s="193" t="s">
        <v>461</v>
      </c>
    </row>
    <row r="127" spans="1:6" ht="68.45" customHeight="1" thickBot="1" x14ac:dyDescent="0.3">
      <c r="A127" s="44" t="s">
        <v>92</v>
      </c>
      <c r="B127" s="24" t="s">
        <v>145</v>
      </c>
      <c r="C127" s="357"/>
      <c r="D127" s="358"/>
      <c r="F127" s="193"/>
    </row>
  </sheetData>
  <sheetProtection algorithmName="SHA-512" hashValue="jsnAQGC0qeEDM0dF4fqfhiJj+R4f9lf0GluhJgSwOgRkv90SfD2ExZ3SIqTxmzsUn7RMgCvCmj8ZxYDpAEDlwQ==" saltValue="JaZ54z3TIhRhsjccajdLfg==" spinCount="100000" sheet="1" objects="1" scenarios="1"/>
  <mergeCells count="142">
    <mergeCell ref="C27:D27"/>
    <mergeCell ref="C28:D28"/>
    <mergeCell ref="B11:D11"/>
    <mergeCell ref="A3:D3"/>
    <mergeCell ref="A4:D4"/>
    <mergeCell ref="A6:D6"/>
    <mergeCell ref="B8:D8"/>
    <mergeCell ref="B9:D9"/>
    <mergeCell ref="B10:D10"/>
    <mergeCell ref="B13:D13"/>
    <mergeCell ref="B14:D14"/>
    <mergeCell ref="B41:B43"/>
    <mergeCell ref="C41:D41"/>
    <mergeCell ref="C42:D42"/>
    <mergeCell ref="B12:D12"/>
    <mergeCell ref="B21:D21"/>
    <mergeCell ref="B22:D22"/>
    <mergeCell ref="A24:D24"/>
    <mergeCell ref="B15:D15"/>
    <mergeCell ref="B16:D16"/>
    <mergeCell ref="B17:D17"/>
    <mergeCell ref="A19:D19"/>
    <mergeCell ref="C40:D40"/>
    <mergeCell ref="C29:D29"/>
    <mergeCell ref="A30:A34"/>
    <mergeCell ref="B30:B34"/>
    <mergeCell ref="C30:D30"/>
    <mergeCell ref="C31:D31"/>
    <mergeCell ref="C32:D32"/>
    <mergeCell ref="C33:D33"/>
    <mergeCell ref="C34:D34"/>
    <mergeCell ref="C25:D25"/>
    <mergeCell ref="C26:D26"/>
    <mergeCell ref="A27:A28"/>
    <mergeCell ref="B27:B28"/>
    <mergeCell ref="C35:D35"/>
    <mergeCell ref="A36:A37"/>
    <mergeCell ref="B36:B37"/>
    <mergeCell ref="C36:D36"/>
    <mergeCell ref="C37:D37"/>
    <mergeCell ref="A38:A39"/>
    <mergeCell ref="B38:B39"/>
    <mergeCell ref="C38:D38"/>
    <mergeCell ref="C39:D39"/>
    <mergeCell ref="C64:D64"/>
    <mergeCell ref="C65:D65"/>
    <mergeCell ref="C66:D66"/>
    <mergeCell ref="C67:D67"/>
    <mergeCell ref="C68:D68"/>
    <mergeCell ref="C61:D61"/>
    <mergeCell ref="C62:D62"/>
    <mergeCell ref="C63:D63"/>
    <mergeCell ref="C60:D60"/>
    <mergeCell ref="C43:D43"/>
    <mergeCell ref="A53:A55"/>
    <mergeCell ref="B53:B55"/>
    <mergeCell ref="C53:D53"/>
    <mergeCell ref="C54:D54"/>
    <mergeCell ref="C55:D55"/>
    <mergeCell ref="C56:D56"/>
    <mergeCell ref="A57:A59"/>
    <mergeCell ref="B57:B59"/>
    <mergeCell ref="C57:D57"/>
    <mergeCell ref="C58:D58"/>
    <mergeCell ref="C59:D59"/>
    <mergeCell ref="C52:D52"/>
    <mergeCell ref="C44:D44"/>
    <mergeCell ref="A45:A52"/>
    <mergeCell ref="B45:B52"/>
    <mergeCell ref="C45:D45"/>
    <mergeCell ref="C46:D46"/>
    <mergeCell ref="C47:D47"/>
    <mergeCell ref="C48:D48"/>
    <mergeCell ref="C49:D49"/>
    <mergeCell ref="C50:D50"/>
    <mergeCell ref="C51:D51"/>
    <mergeCell ref="A41:A43"/>
    <mergeCell ref="C69:D69"/>
    <mergeCell ref="C70:D70"/>
    <mergeCell ref="C71:D71"/>
    <mergeCell ref="C72:D72"/>
    <mergeCell ref="C73:D73"/>
    <mergeCell ref="C74:D74"/>
    <mergeCell ref="C75:D75"/>
    <mergeCell ref="A77:D77"/>
    <mergeCell ref="A78:D78"/>
    <mergeCell ref="A93:D93"/>
    <mergeCell ref="A94:D94"/>
    <mergeCell ref="A95:D95"/>
    <mergeCell ref="A79:D79"/>
    <mergeCell ref="A80:D80"/>
    <mergeCell ref="A81:D81"/>
    <mergeCell ref="A82:D82"/>
    <mergeCell ref="A83:D83"/>
    <mergeCell ref="A84:D84"/>
    <mergeCell ref="A85:D85"/>
    <mergeCell ref="A88:D88"/>
    <mergeCell ref="A89:D89"/>
    <mergeCell ref="A90:D90"/>
    <mergeCell ref="A91:D91"/>
    <mergeCell ref="A92:D92"/>
    <mergeCell ref="A86:D86"/>
    <mergeCell ref="A87:D87"/>
    <mergeCell ref="A103:A106"/>
    <mergeCell ref="B103:B106"/>
    <mergeCell ref="C103:D103"/>
    <mergeCell ref="C104:D104"/>
    <mergeCell ref="C105:D105"/>
    <mergeCell ref="C106:D106"/>
    <mergeCell ref="A97:D97"/>
    <mergeCell ref="C98:D98"/>
    <mergeCell ref="C99:D99"/>
    <mergeCell ref="C100:D100"/>
    <mergeCell ref="C101:D101"/>
    <mergeCell ref="C102:D102"/>
    <mergeCell ref="C115:D115"/>
    <mergeCell ref="C116:D116"/>
    <mergeCell ref="A117:A118"/>
    <mergeCell ref="B117:B118"/>
    <mergeCell ref="C117:D117"/>
    <mergeCell ref="C118:D118"/>
    <mergeCell ref="A107:A114"/>
    <mergeCell ref="B107:B114"/>
    <mergeCell ref="C107:D107"/>
    <mergeCell ref="C108:D108"/>
    <mergeCell ref="C109:D109"/>
    <mergeCell ref="C110:D110"/>
    <mergeCell ref="C111:D111"/>
    <mergeCell ref="C112:D112"/>
    <mergeCell ref="C113:D113"/>
    <mergeCell ref="C114:D114"/>
    <mergeCell ref="C123:D123"/>
    <mergeCell ref="C124:D124"/>
    <mergeCell ref="C126:D126"/>
    <mergeCell ref="C127:D127"/>
    <mergeCell ref="C119:D119"/>
    <mergeCell ref="C120:D120"/>
    <mergeCell ref="C121:D121"/>
    <mergeCell ref="C122:D122"/>
    <mergeCell ref="A124:A125"/>
    <mergeCell ref="B124:B125"/>
    <mergeCell ref="C125:D125"/>
  </mergeCells>
  <conditionalFormatting sqref="C56 C62">
    <cfRule type="expression" dxfId="60" priority="36">
      <formula>#REF!="NO"</formula>
    </cfRule>
  </conditionalFormatting>
  <conditionalFormatting sqref="C41:D43">
    <cfRule type="expression" dxfId="59" priority="30">
      <formula>$F$2="NO"</formula>
    </cfRule>
  </conditionalFormatting>
  <conditionalFormatting sqref="C124:D124 C125">
    <cfRule type="expression" dxfId="58" priority="3">
      <formula>$F$2="NO"</formula>
    </cfRule>
  </conditionalFormatting>
  <conditionalFormatting sqref="C126:D127">
    <cfRule type="expression" dxfId="57" priority="12">
      <formula>#REF!="NO"</formula>
    </cfRule>
  </conditionalFormatting>
  <conditionalFormatting sqref="C26:E40">
    <cfRule type="expression" dxfId="56" priority="32">
      <formula>#REF!="NO"</formula>
    </cfRule>
  </conditionalFormatting>
  <conditionalFormatting sqref="C44:E75 F79:F95 C99:D123 F99:F127">
    <cfRule type="expression" dxfId="55" priority="4">
      <formula>#REF!="NO"</formula>
    </cfRule>
  </conditionalFormatting>
  <conditionalFormatting sqref="E41:E43">
    <cfRule type="expression" dxfId="54" priority="31">
      <formula>#REF!="NO"</formula>
    </cfRule>
  </conditionalFormatting>
  <conditionalFormatting sqref="F8:F9">
    <cfRule type="expression" dxfId="53" priority="1">
      <formula>$F$2="NO"</formula>
    </cfRule>
  </conditionalFormatting>
  <conditionalFormatting sqref="F10:F17">
    <cfRule type="expression" dxfId="52" priority="43">
      <formula>#REF!="NO"</formula>
    </cfRule>
  </conditionalFormatting>
  <conditionalFormatting sqref="F21:F22">
    <cfRule type="expression" dxfId="51" priority="38">
      <formula>#REF!="NO"</formula>
    </cfRule>
  </conditionalFormatting>
  <conditionalFormatting sqref="F26:F75">
    <cfRule type="expression" dxfId="50" priority="17">
      <formula>#REF!="NO"</formula>
    </cfRule>
  </conditionalFormatting>
  <pageMargins left="0.7" right="0.7" top="0.75" bottom="0.75" header="0.3" footer="0.3"/>
  <pageSetup scale="79" orientation="landscape" r:id="rId1"/>
  <rowBreaks count="4" manualBreakCount="4">
    <brk id="28" max="6" man="1"/>
    <brk id="75" max="16383" man="1"/>
    <brk id="102" max="16383" man="1"/>
    <brk id="118" max="6"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4FB50-4D95-4317-AF98-7B83859A46B0}">
  <sheetPr codeName="Sheet11">
    <tabColor theme="8" tint="0.59999389629810485"/>
    <pageSetUpPr autoPageBreaks="0" fitToPage="1"/>
  </sheetPr>
  <dimension ref="A1:G134"/>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0.7109375" style="250" customWidth="1"/>
    <col min="7" max="7" width="2.7109375" style="2" customWidth="1"/>
    <col min="8" max="16384" width="9.140625" style="2"/>
  </cols>
  <sheetData>
    <row r="1" spans="1:7" ht="18" customHeight="1" x14ac:dyDescent="0.2">
      <c r="A1" s="245" t="str">
        <f>'A (Item 2-G)'!$A$1</f>
        <v>GROUP 40524-23254, SCHOOL BUSES (Statewide)                                                             Attachment 1 - Specifications and Pricing (Revised October 15, 2026)</v>
      </c>
      <c r="F1" s="177"/>
    </row>
    <row r="2" spans="1:7" s="19" customFormat="1" ht="18" customHeight="1" thickBot="1" x14ac:dyDescent="0.3">
      <c r="A2" s="305" t="str">
        <f>'Attachment 1 - Summary'!B2</f>
        <v>PC69862 Matthews Buses, Inc.</v>
      </c>
      <c r="B2" s="20"/>
      <c r="C2" s="20"/>
      <c r="D2" s="20"/>
      <c r="E2" s="20"/>
      <c r="F2" s="273"/>
      <c r="G2" s="20"/>
    </row>
    <row r="3" spans="1:7" ht="24" thickBot="1" x14ac:dyDescent="0.25">
      <c r="A3" s="530" t="s">
        <v>312</v>
      </c>
      <c r="B3" s="531"/>
      <c r="C3" s="531"/>
      <c r="D3" s="532"/>
      <c r="E3" s="8"/>
      <c r="F3" s="274"/>
      <c r="G3" s="8"/>
    </row>
    <row r="4" spans="1:7" ht="51" customHeight="1" thickBot="1" x14ac:dyDescent="0.25">
      <c r="A4" s="329" t="s">
        <v>323</v>
      </c>
      <c r="B4" s="330"/>
      <c r="C4" s="330"/>
      <c r="D4" s="331"/>
      <c r="E4" s="8"/>
      <c r="F4" s="274"/>
      <c r="G4" s="8"/>
    </row>
    <row r="5" spans="1:7" s="4" customFormat="1" ht="11.25" customHeight="1" thickBot="1" x14ac:dyDescent="0.3">
      <c r="A5" s="272"/>
      <c r="B5" s="272"/>
      <c r="C5" s="272"/>
      <c r="D5" s="272"/>
      <c r="E5" s="272"/>
      <c r="F5" s="275"/>
    </row>
    <row r="6" spans="1:7" s="7" customFormat="1" ht="16.5" customHeight="1" thickBot="1" x14ac:dyDescent="0.25">
      <c r="A6" s="335" t="s">
        <v>151</v>
      </c>
      <c r="B6" s="336"/>
      <c r="C6" s="336"/>
      <c r="D6" s="337"/>
      <c r="E6" s="30"/>
      <c r="F6" s="217" t="s">
        <v>337</v>
      </c>
      <c r="G6" s="30"/>
    </row>
    <row r="7" spans="1:7" s="4" customFormat="1" ht="15" customHeight="1" thickBot="1" x14ac:dyDescent="0.3">
      <c r="A7" s="35" t="s">
        <v>6</v>
      </c>
      <c r="B7" s="21" t="s">
        <v>165</v>
      </c>
      <c r="C7" s="26"/>
      <c r="D7" s="34"/>
      <c r="E7" s="31"/>
      <c r="F7" s="246" t="s">
        <v>19</v>
      </c>
      <c r="G7" s="31"/>
    </row>
    <row r="8" spans="1:7" ht="65.25" thickTop="1" thickBot="1" x14ac:dyDescent="0.25">
      <c r="A8" s="36" t="s">
        <v>9</v>
      </c>
      <c r="B8" s="323" t="s">
        <v>152</v>
      </c>
      <c r="C8" s="324"/>
      <c r="D8" s="325"/>
      <c r="E8" s="12"/>
      <c r="F8" s="178" t="s">
        <v>462</v>
      </c>
      <c r="G8" s="12"/>
    </row>
    <row r="9" spans="1:7" s="7" customFormat="1" ht="44.25" customHeight="1" thickTop="1" thickBot="1" x14ac:dyDescent="0.25">
      <c r="A9" s="36" t="s">
        <v>136</v>
      </c>
      <c r="B9" s="323" t="s">
        <v>191</v>
      </c>
      <c r="C9" s="324"/>
      <c r="D9" s="325"/>
      <c r="E9" s="12"/>
      <c r="F9" s="178" t="s">
        <v>463</v>
      </c>
      <c r="G9" s="12"/>
    </row>
    <row r="10" spans="1:7" ht="12.75" customHeight="1" thickTop="1" x14ac:dyDescent="0.2">
      <c r="A10" s="37" t="s">
        <v>0</v>
      </c>
      <c r="B10" s="314" t="s">
        <v>154</v>
      </c>
      <c r="C10" s="315"/>
      <c r="D10" s="316"/>
      <c r="E10" s="12"/>
      <c r="F10" s="180" t="s">
        <v>337</v>
      </c>
      <c r="G10" s="12"/>
    </row>
    <row r="11" spans="1:7" x14ac:dyDescent="0.2">
      <c r="A11" s="37" t="s">
        <v>1</v>
      </c>
      <c r="B11" s="314" t="s">
        <v>153</v>
      </c>
      <c r="C11" s="315"/>
      <c r="D11" s="316"/>
      <c r="E11" s="12"/>
      <c r="F11" s="180" t="s">
        <v>464</v>
      </c>
      <c r="G11" s="12"/>
    </row>
    <row r="12" spans="1:7" ht="12.75" customHeight="1" thickBot="1" x14ac:dyDescent="0.25">
      <c r="A12" s="38" t="s">
        <v>2</v>
      </c>
      <c r="B12" s="317" t="s">
        <v>155</v>
      </c>
      <c r="C12" s="318"/>
      <c r="D12" s="319"/>
      <c r="E12" s="12"/>
      <c r="F12" s="181" t="s">
        <v>465</v>
      </c>
      <c r="G12" s="12"/>
    </row>
    <row r="13" spans="1:7" ht="13.5" thickTop="1" x14ac:dyDescent="0.2">
      <c r="A13" s="37" t="s">
        <v>3</v>
      </c>
      <c r="B13" s="314" t="s">
        <v>157</v>
      </c>
      <c r="C13" s="315"/>
      <c r="D13" s="316"/>
      <c r="E13" s="12"/>
      <c r="F13" s="180" t="s">
        <v>337</v>
      </c>
      <c r="G13" s="12"/>
    </row>
    <row r="14" spans="1:7" x14ac:dyDescent="0.2">
      <c r="A14" s="37" t="s">
        <v>4</v>
      </c>
      <c r="B14" s="314" t="s">
        <v>156</v>
      </c>
      <c r="C14" s="315"/>
      <c r="D14" s="316"/>
      <c r="E14" s="12"/>
      <c r="F14" s="180" t="s">
        <v>465</v>
      </c>
      <c r="G14" s="12"/>
    </row>
    <row r="15" spans="1:7" ht="15.75" customHeight="1" thickBot="1" x14ac:dyDescent="0.25">
      <c r="A15" s="39" t="s">
        <v>5</v>
      </c>
      <c r="B15" s="317" t="s">
        <v>158</v>
      </c>
      <c r="C15" s="318"/>
      <c r="D15" s="319"/>
      <c r="E15" s="12"/>
      <c r="F15" s="182" t="s">
        <v>466</v>
      </c>
      <c r="G15" s="12"/>
    </row>
    <row r="16" spans="1:7" ht="29.25" customHeight="1" thickTop="1" x14ac:dyDescent="0.2">
      <c r="A16" s="37" t="s">
        <v>101</v>
      </c>
      <c r="B16" s="320" t="s">
        <v>160</v>
      </c>
      <c r="C16" s="321"/>
      <c r="D16" s="322"/>
      <c r="E16" s="12"/>
      <c r="F16" s="183">
        <v>100</v>
      </c>
      <c r="G16" s="12"/>
    </row>
    <row r="17" spans="1:7" ht="30.75" customHeight="1" thickBot="1" x14ac:dyDescent="0.25">
      <c r="A17" s="39" t="s">
        <v>43</v>
      </c>
      <c r="B17" s="317" t="s">
        <v>159</v>
      </c>
      <c r="C17" s="318"/>
      <c r="D17" s="319"/>
      <c r="E17" s="12"/>
      <c r="F17" s="182" t="s">
        <v>369</v>
      </c>
      <c r="G17" s="12"/>
    </row>
    <row r="18" spans="1:7" s="9" customFormat="1" ht="14.25" thickTop="1" thickBot="1" x14ac:dyDescent="0.25">
      <c r="C18" s="10"/>
      <c r="D18" s="10"/>
      <c r="E18" s="10"/>
      <c r="F18" s="185"/>
      <c r="G18" s="10"/>
    </row>
    <row r="19" spans="1:7" s="11" customFormat="1" ht="16.5" customHeight="1" thickBot="1" x14ac:dyDescent="0.25">
      <c r="A19" s="335" t="s">
        <v>150</v>
      </c>
      <c r="B19" s="336"/>
      <c r="C19" s="336"/>
      <c r="D19" s="337"/>
      <c r="E19" s="30"/>
      <c r="F19" s="217" t="s">
        <v>337</v>
      </c>
      <c r="G19" s="30"/>
    </row>
    <row r="20" spans="1:7" s="4" customFormat="1" ht="15" customHeight="1" thickBot="1" x14ac:dyDescent="0.3">
      <c r="A20" s="49" t="s">
        <v>6</v>
      </c>
      <c r="B20" s="25" t="s">
        <v>165</v>
      </c>
      <c r="C20" s="27"/>
      <c r="D20" s="42"/>
      <c r="E20" s="31"/>
      <c r="F20" s="246" t="s">
        <v>19</v>
      </c>
      <c r="G20" s="31"/>
    </row>
    <row r="21" spans="1:7" ht="56.25" customHeight="1" x14ac:dyDescent="0.2">
      <c r="A21" s="40" t="s">
        <v>42</v>
      </c>
      <c r="B21" s="338" t="s">
        <v>161</v>
      </c>
      <c r="C21" s="339"/>
      <c r="D21" s="340"/>
      <c r="E21" s="12"/>
      <c r="F21" s="247">
        <f>133783.45*('PPI Adj'!D6)</f>
        <v>156125.28615000003</v>
      </c>
      <c r="G21" s="12"/>
    </row>
    <row r="22" spans="1:7" ht="33" customHeight="1" thickBot="1" x14ac:dyDescent="0.25">
      <c r="A22" s="41" t="s">
        <v>41</v>
      </c>
      <c r="B22" s="359" t="s">
        <v>163</v>
      </c>
      <c r="C22" s="360"/>
      <c r="D22" s="361"/>
      <c r="E22" s="1"/>
      <c r="F22" s="188">
        <v>20</v>
      </c>
      <c r="G22" s="1"/>
    </row>
    <row r="23" spans="1:7" ht="13.5" thickBot="1" x14ac:dyDescent="0.25">
      <c r="A23" s="52"/>
      <c r="B23" s="1"/>
      <c r="C23" s="1"/>
      <c r="D23" s="1"/>
      <c r="E23" s="1"/>
      <c r="F23" s="249"/>
      <c r="G23" s="1"/>
    </row>
    <row r="24" spans="1:7" s="7" customFormat="1" ht="15.75" customHeight="1" thickBot="1" x14ac:dyDescent="0.25">
      <c r="A24" s="362" t="s">
        <v>164</v>
      </c>
      <c r="B24" s="363"/>
      <c r="C24" s="363"/>
      <c r="D24" s="364"/>
      <c r="E24" s="32"/>
      <c r="F24" s="217" t="s">
        <v>337</v>
      </c>
      <c r="G24" s="32"/>
    </row>
    <row r="25" spans="1:7" s="3" customFormat="1" ht="15" customHeight="1" thickBot="1" x14ac:dyDescent="0.3">
      <c r="A25" s="49" t="s">
        <v>6</v>
      </c>
      <c r="B25" s="50" t="s">
        <v>7</v>
      </c>
      <c r="C25" s="365" t="s">
        <v>165</v>
      </c>
      <c r="D25" s="366"/>
      <c r="E25" s="33"/>
      <c r="F25" s="246" t="s">
        <v>19</v>
      </c>
      <c r="G25" s="33"/>
    </row>
    <row r="26" spans="1:7" s="12" customFormat="1" ht="66.95" customHeight="1" thickBot="1" x14ac:dyDescent="0.3">
      <c r="A26" s="43" t="s">
        <v>8</v>
      </c>
      <c r="B26" s="24" t="s">
        <v>311</v>
      </c>
      <c r="C26" s="341" t="s">
        <v>118</v>
      </c>
      <c r="D26" s="342"/>
      <c r="E26" s="28"/>
      <c r="F26" s="184">
        <v>30350</v>
      </c>
      <c r="G26" s="28"/>
    </row>
    <row r="27" spans="1:7" s="12" customFormat="1" x14ac:dyDescent="0.25">
      <c r="A27" s="343" t="s">
        <v>21</v>
      </c>
      <c r="B27" s="345" t="s">
        <v>328</v>
      </c>
      <c r="C27" s="347" t="s">
        <v>67</v>
      </c>
      <c r="D27" s="348"/>
      <c r="E27" s="28"/>
      <c r="F27" s="192">
        <v>9</v>
      </c>
      <c r="G27" s="28"/>
    </row>
    <row r="28" spans="1:7" s="12" customFormat="1" ht="13.5" thickBot="1" x14ac:dyDescent="0.3">
      <c r="A28" s="344"/>
      <c r="B28" s="346"/>
      <c r="C28" s="341" t="s">
        <v>68</v>
      </c>
      <c r="D28" s="342"/>
      <c r="E28" s="28"/>
      <c r="F28" s="184">
        <v>53</v>
      </c>
      <c r="G28" s="28"/>
    </row>
    <row r="29" spans="1:7" s="12" customFormat="1" ht="13.5" thickBot="1" x14ac:dyDescent="0.3">
      <c r="A29" s="44" t="s">
        <v>123</v>
      </c>
      <c r="B29" s="24" t="s">
        <v>108</v>
      </c>
      <c r="C29" s="357"/>
      <c r="D29" s="358"/>
      <c r="E29" s="29"/>
      <c r="F29" s="193"/>
      <c r="G29" s="29"/>
    </row>
    <row r="30" spans="1:7" s="12" customFormat="1" x14ac:dyDescent="0.25">
      <c r="A30" s="343" t="s">
        <v>59</v>
      </c>
      <c r="B30" s="345"/>
      <c r="C30" s="347" t="s">
        <v>58</v>
      </c>
      <c r="D30" s="348"/>
      <c r="E30" s="28"/>
      <c r="F30" s="192">
        <v>136</v>
      </c>
      <c r="G30" s="28"/>
    </row>
    <row r="31" spans="1:7" s="12" customFormat="1" x14ac:dyDescent="0.25">
      <c r="A31" s="351"/>
      <c r="B31" s="352"/>
      <c r="C31" s="353" t="s">
        <v>57</v>
      </c>
      <c r="D31" s="354"/>
      <c r="E31" s="28"/>
      <c r="F31" s="180">
        <v>337.8</v>
      </c>
      <c r="G31" s="28"/>
    </row>
    <row r="32" spans="1:7" s="12" customFormat="1" x14ac:dyDescent="0.25">
      <c r="A32" s="351"/>
      <c r="B32" s="352"/>
      <c r="C32" s="353" t="s">
        <v>69</v>
      </c>
      <c r="D32" s="354"/>
      <c r="E32" s="28"/>
      <c r="F32" s="180">
        <v>90</v>
      </c>
      <c r="G32" s="28"/>
    </row>
    <row r="33" spans="1:7" s="12" customFormat="1" x14ac:dyDescent="0.25">
      <c r="A33" s="351"/>
      <c r="B33" s="352"/>
      <c r="C33" s="355" t="s">
        <v>70</v>
      </c>
      <c r="D33" s="356"/>
      <c r="E33" s="28"/>
      <c r="F33" s="180">
        <v>78</v>
      </c>
      <c r="G33" s="28"/>
    </row>
    <row r="34" spans="1:7" s="12" customFormat="1" ht="13.5" thickBot="1" x14ac:dyDescent="0.3">
      <c r="A34" s="344"/>
      <c r="B34" s="346"/>
      <c r="C34" s="341" t="s">
        <v>111</v>
      </c>
      <c r="D34" s="342"/>
      <c r="E34" s="28"/>
      <c r="F34" s="184">
        <v>255</v>
      </c>
      <c r="G34" s="28"/>
    </row>
    <row r="35" spans="1:7" s="12" customFormat="1" x14ac:dyDescent="0.25">
      <c r="A35" s="343" t="s">
        <v>11</v>
      </c>
      <c r="B35" s="345"/>
      <c r="C35" s="347" t="s">
        <v>24</v>
      </c>
      <c r="D35" s="348"/>
      <c r="E35" s="28"/>
      <c r="F35" s="192">
        <v>11350</v>
      </c>
      <c r="G35" s="28"/>
    </row>
    <row r="36" spans="1:7" s="12" customFormat="1" ht="13.5" thickBot="1" x14ac:dyDescent="0.3">
      <c r="A36" s="344"/>
      <c r="B36" s="346"/>
      <c r="C36" s="341" t="s">
        <v>22</v>
      </c>
      <c r="D36" s="342"/>
      <c r="E36" s="28"/>
      <c r="F36" s="184">
        <v>13200</v>
      </c>
      <c r="G36" s="28"/>
    </row>
    <row r="37" spans="1:7" s="12" customFormat="1" x14ac:dyDescent="0.25">
      <c r="A37" s="343" t="s">
        <v>16</v>
      </c>
      <c r="B37" s="345"/>
      <c r="C37" s="347" t="s">
        <v>24</v>
      </c>
      <c r="D37" s="348"/>
      <c r="E37" s="28"/>
      <c r="F37" s="192">
        <v>19000</v>
      </c>
      <c r="G37" s="28"/>
    </row>
    <row r="38" spans="1:7" s="12" customFormat="1" ht="13.5" thickBot="1" x14ac:dyDescent="0.3">
      <c r="A38" s="344"/>
      <c r="B38" s="346"/>
      <c r="C38" s="349" t="s">
        <v>23</v>
      </c>
      <c r="D38" s="350"/>
      <c r="E38" s="28"/>
      <c r="F38" s="184">
        <v>19000</v>
      </c>
      <c r="G38" s="28"/>
    </row>
    <row r="39" spans="1:7" s="12" customFormat="1" ht="15.6" customHeight="1" thickBot="1" x14ac:dyDescent="0.3">
      <c r="A39" s="44" t="s">
        <v>52</v>
      </c>
      <c r="B39" s="24" t="s">
        <v>53</v>
      </c>
      <c r="C39" s="357"/>
      <c r="D39" s="358"/>
      <c r="E39" s="29"/>
      <c r="F39" s="193"/>
      <c r="G39" s="29"/>
    </row>
    <row r="40" spans="1:7" s="12" customFormat="1" x14ac:dyDescent="0.25">
      <c r="A40" s="343" t="s">
        <v>219</v>
      </c>
      <c r="B40" s="345" t="s">
        <v>222</v>
      </c>
      <c r="C40" s="347" t="s">
        <v>221</v>
      </c>
      <c r="D40" s="348"/>
      <c r="E40" s="28"/>
      <c r="F40" s="192" t="s">
        <v>467</v>
      </c>
      <c r="G40" s="28"/>
    </row>
    <row r="41" spans="1:7" s="12" customFormat="1" ht="14.45" customHeight="1" x14ac:dyDescent="0.25">
      <c r="A41" s="351"/>
      <c r="B41" s="352"/>
      <c r="C41" s="353" t="s">
        <v>220</v>
      </c>
      <c r="D41" s="354"/>
      <c r="E41" s="28"/>
      <c r="F41" s="180" t="s">
        <v>428</v>
      </c>
      <c r="G41" s="28"/>
    </row>
    <row r="42" spans="1:7" s="12" customFormat="1" ht="90" customHeight="1" thickBot="1" x14ac:dyDescent="0.3">
      <c r="A42" s="344"/>
      <c r="B42" s="352"/>
      <c r="C42" s="349"/>
      <c r="D42" s="350"/>
      <c r="E42" s="28"/>
      <c r="F42" s="179"/>
      <c r="G42" s="28"/>
    </row>
    <row r="43" spans="1:7" s="12" customFormat="1" ht="30" customHeight="1" thickBot="1" x14ac:dyDescent="0.3">
      <c r="A43" s="44" t="s">
        <v>219</v>
      </c>
      <c r="B43" s="24" t="s">
        <v>218</v>
      </c>
      <c r="C43" s="357"/>
      <c r="D43" s="358"/>
      <c r="E43" s="29"/>
      <c r="F43" s="193"/>
      <c r="G43" s="29"/>
    </row>
    <row r="44" spans="1:7" s="12" customFormat="1" ht="13.5" thickBot="1" x14ac:dyDescent="0.3">
      <c r="A44" s="367" t="s">
        <v>12</v>
      </c>
      <c r="B44" s="368" t="s">
        <v>142</v>
      </c>
      <c r="C44" s="347" t="s">
        <v>174</v>
      </c>
      <c r="D44" s="348"/>
      <c r="E44" s="28"/>
      <c r="F44" s="192" t="s">
        <v>401</v>
      </c>
      <c r="G44" s="28"/>
    </row>
    <row r="45" spans="1:7" s="12" customFormat="1" ht="13.5" thickBot="1" x14ac:dyDescent="0.3">
      <c r="A45" s="367"/>
      <c r="B45" s="368"/>
      <c r="C45" s="353" t="s">
        <v>175</v>
      </c>
      <c r="D45" s="354"/>
      <c r="E45" s="28"/>
      <c r="F45" s="180">
        <v>5675</v>
      </c>
      <c r="G45" s="28"/>
    </row>
    <row r="46" spans="1:7" s="12" customFormat="1" ht="13.5" thickBot="1" x14ac:dyDescent="0.3">
      <c r="A46" s="367"/>
      <c r="B46" s="368"/>
      <c r="C46" s="353" t="s">
        <v>176</v>
      </c>
      <c r="D46" s="354"/>
      <c r="E46" s="28"/>
      <c r="F46" s="209" t="s">
        <v>401</v>
      </c>
      <c r="G46" s="28"/>
    </row>
    <row r="47" spans="1:7" s="12" customFormat="1" ht="13.5" thickBot="1" x14ac:dyDescent="0.3">
      <c r="A47" s="367"/>
      <c r="B47" s="368"/>
      <c r="C47" s="353" t="s">
        <v>177</v>
      </c>
      <c r="D47" s="354"/>
      <c r="E47" s="28"/>
      <c r="F47" s="180">
        <v>5355</v>
      </c>
      <c r="G47" s="28"/>
    </row>
    <row r="48" spans="1:7" s="12" customFormat="1" ht="13.5" thickBot="1" x14ac:dyDescent="0.3">
      <c r="A48" s="367"/>
      <c r="B48" s="368"/>
      <c r="C48" s="353" t="s">
        <v>112</v>
      </c>
      <c r="D48" s="354"/>
      <c r="E48" s="28"/>
      <c r="F48" s="180" t="s">
        <v>468</v>
      </c>
      <c r="G48" s="28"/>
    </row>
    <row r="49" spans="1:7" s="12" customFormat="1" ht="13.5" thickBot="1" x14ac:dyDescent="0.3">
      <c r="A49" s="367"/>
      <c r="B49" s="368"/>
      <c r="C49" s="353" t="s">
        <v>113</v>
      </c>
      <c r="D49" s="354"/>
      <c r="E49" s="28"/>
      <c r="F49" s="180" t="s">
        <v>469</v>
      </c>
      <c r="G49" s="28"/>
    </row>
    <row r="50" spans="1:7" s="12" customFormat="1" ht="13.5" thickBot="1" x14ac:dyDescent="0.3">
      <c r="A50" s="367"/>
      <c r="B50" s="368"/>
      <c r="C50" s="355" t="s">
        <v>114</v>
      </c>
      <c r="D50" s="356"/>
      <c r="E50" s="28"/>
      <c r="F50" s="180" t="s">
        <v>468</v>
      </c>
      <c r="G50" s="28"/>
    </row>
    <row r="51" spans="1:7" s="12" customFormat="1" ht="13.5" thickBot="1" x14ac:dyDescent="0.3">
      <c r="A51" s="367"/>
      <c r="B51" s="368"/>
      <c r="C51" s="341" t="s">
        <v>115</v>
      </c>
      <c r="D51" s="342"/>
      <c r="E51" s="28"/>
      <c r="F51" s="184" t="s">
        <v>469</v>
      </c>
      <c r="G51" s="28"/>
    </row>
    <row r="52" spans="1:7" s="12" customFormat="1" x14ac:dyDescent="0.25">
      <c r="A52" s="343" t="s">
        <v>10</v>
      </c>
      <c r="B52" s="345" t="s">
        <v>217</v>
      </c>
      <c r="C52" s="347" t="s">
        <v>116</v>
      </c>
      <c r="D52" s="348"/>
      <c r="E52" s="28"/>
      <c r="F52" s="192">
        <v>5</v>
      </c>
      <c r="G52" s="28"/>
    </row>
    <row r="53" spans="1:7" s="12" customFormat="1" x14ac:dyDescent="0.25">
      <c r="A53" s="351"/>
      <c r="B53" s="352"/>
      <c r="C53" s="353" t="s">
        <v>117</v>
      </c>
      <c r="D53" s="354"/>
      <c r="E53" s="28"/>
      <c r="F53" s="180" t="s">
        <v>344</v>
      </c>
      <c r="G53" s="28"/>
    </row>
    <row r="54" spans="1:7" s="12" customFormat="1" ht="26.25" thickBot="1" x14ac:dyDescent="0.3">
      <c r="A54" s="351"/>
      <c r="B54" s="352"/>
      <c r="C54" s="349" t="s">
        <v>71</v>
      </c>
      <c r="D54" s="350"/>
      <c r="E54" s="28"/>
      <c r="F54" s="179" t="s">
        <v>470</v>
      </c>
      <c r="G54" s="28"/>
    </row>
    <row r="55" spans="1:7" s="12" customFormat="1" ht="80.099999999999994" customHeight="1" thickBot="1" x14ac:dyDescent="0.3">
      <c r="A55" s="45" t="s">
        <v>9</v>
      </c>
      <c r="B55" s="22" t="s">
        <v>254</v>
      </c>
      <c r="C55" s="355"/>
      <c r="D55" s="356"/>
      <c r="E55" s="28"/>
      <c r="F55" s="192"/>
      <c r="G55" s="28"/>
    </row>
    <row r="56" spans="1:7" s="12" customFormat="1" ht="29.45" customHeight="1" thickBot="1" x14ac:dyDescent="0.3">
      <c r="A56" s="45" t="s">
        <v>253</v>
      </c>
      <c r="B56" s="22" t="s">
        <v>252</v>
      </c>
      <c r="C56" s="357"/>
      <c r="D56" s="358"/>
      <c r="E56" s="29"/>
      <c r="F56" s="196"/>
      <c r="G56" s="29"/>
    </row>
    <row r="57" spans="1:7" s="12" customFormat="1" ht="25.5" x14ac:dyDescent="0.25">
      <c r="A57" s="343" t="s">
        <v>25</v>
      </c>
      <c r="B57" s="345" t="s">
        <v>93</v>
      </c>
      <c r="C57" s="347" t="s">
        <v>72</v>
      </c>
      <c r="D57" s="348"/>
      <c r="E57" s="28"/>
      <c r="F57" s="192" t="s">
        <v>471</v>
      </c>
      <c r="G57" s="28"/>
    </row>
    <row r="58" spans="1:7" s="12" customFormat="1" ht="56.1" customHeight="1" thickBot="1" x14ac:dyDescent="0.3">
      <c r="A58" s="344"/>
      <c r="B58" s="346"/>
      <c r="C58" s="341" t="s">
        <v>73</v>
      </c>
      <c r="D58" s="342"/>
      <c r="E58" s="28"/>
      <c r="F58" s="184">
        <v>185</v>
      </c>
      <c r="G58" s="28"/>
    </row>
    <row r="59" spans="1:7" s="12" customFormat="1" x14ac:dyDescent="0.25">
      <c r="A59" s="343" t="s">
        <v>26</v>
      </c>
      <c r="B59" s="345" t="s">
        <v>251</v>
      </c>
      <c r="C59" s="347" t="s">
        <v>74</v>
      </c>
      <c r="D59" s="348"/>
      <c r="E59" s="28"/>
      <c r="F59" s="192" t="s">
        <v>472</v>
      </c>
      <c r="G59" s="28"/>
    </row>
    <row r="60" spans="1:7" s="12" customFormat="1" x14ac:dyDescent="0.25">
      <c r="A60" s="351"/>
      <c r="B60" s="352"/>
      <c r="C60" s="353" t="s">
        <v>75</v>
      </c>
      <c r="D60" s="354"/>
      <c r="E60" s="28"/>
      <c r="F60" s="180">
        <v>3</v>
      </c>
      <c r="G60" s="28"/>
    </row>
    <row r="61" spans="1:7" s="12" customFormat="1" ht="32.25" customHeight="1" thickBot="1" x14ac:dyDescent="0.3">
      <c r="A61" s="344"/>
      <c r="B61" s="346"/>
      <c r="C61" s="341" t="s">
        <v>250</v>
      </c>
      <c r="D61" s="342"/>
      <c r="E61" s="28"/>
      <c r="F61" s="184" t="s">
        <v>473</v>
      </c>
      <c r="G61" s="28"/>
    </row>
    <row r="62" spans="1:7" s="12" customFormat="1" ht="15.6" customHeight="1" thickBot="1" x14ac:dyDescent="0.3">
      <c r="A62" s="44" t="s">
        <v>44</v>
      </c>
      <c r="B62" s="24" t="s">
        <v>45</v>
      </c>
      <c r="C62" s="357"/>
      <c r="D62" s="358"/>
      <c r="E62" s="29"/>
      <c r="F62" s="196"/>
      <c r="G62" s="29"/>
    </row>
    <row r="63" spans="1:7" s="12" customFormat="1" ht="28.5" customHeight="1" thickBot="1" x14ac:dyDescent="0.3">
      <c r="A63" s="44" t="s">
        <v>44</v>
      </c>
      <c r="B63" s="24" t="s">
        <v>63</v>
      </c>
      <c r="C63" s="357"/>
      <c r="D63" s="358"/>
      <c r="E63" s="29"/>
      <c r="F63" s="196"/>
      <c r="G63" s="29"/>
    </row>
    <row r="64" spans="1:7" s="12" customFormat="1" ht="28.5" customHeight="1" thickBot="1" x14ac:dyDescent="0.3">
      <c r="A64" s="44" t="s">
        <v>44</v>
      </c>
      <c r="B64" s="24" t="s">
        <v>64</v>
      </c>
      <c r="C64" s="357"/>
      <c r="D64" s="358"/>
      <c r="E64" s="29"/>
      <c r="F64" s="196"/>
      <c r="G64" s="29"/>
    </row>
    <row r="65" spans="1:7" s="12" customFormat="1" ht="27.95" customHeight="1" thickBot="1" x14ac:dyDescent="0.3">
      <c r="A65" s="44" t="s">
        <v>50</v>
      </c>
      <c r="B65" s="24" t="s">
        <v>216</v>
      </c>
      <c r="C65" s="357"/>
      <c r="D65" s="358"/>
      <c r="E65" s="29"/>
      <c r="F65" s="196"/>
      <c r="G65" s="29"/>
    </row>
    <row r="66" spans="1:7" s="12" customFormat="1" ht="15.95" customHeight="1" thickBot="1" x14ac:dyDescent="0.3">
      <c r="A66" s="44" t="s">
        <v>27</v>
      </c>
      <c r="B66" s="24" t="s">
        <v>215</v>
      </c>
      <c r="C66" s="369" t="s">
        <v>77</v>
      </c>
      <c r="D66" s="370"/>
      <c r="E66" s="28"/>
      <c r="F66" s="193" t="s">
        <v>409</v>
      </c>
      <c r="G66" s="28"/>
    </row>
    <row r="67" spans="1:7" s="12" customFormat="1" ht="54.95" customHeight="1" thickBot="1" x14ac:dyDescent="0.3">
      <c r="A67" s="44" t="s">
        <v>214</v>
      </c>
      <c r="B67" s="24" t="s">
        <v>213</v>
      </c>
      <c r="C67" s="369"/>
      <c r="D67" s="370"/>
      <c r="E67" s="28"/>
      <c r="F67" s="193"/>
      <c r="G67" s="28"/>
    </row>
    <row r="68" spans="1:7" s="12" customFormat="1" ht="15" customHeight="1" x14ac:dyDescent="0.25">
      <c r="A68" s="343" t="s">
        <v>28</v>
      </c>
      <c r="B68" s="345" t="s">
        <v>264</v>
      </c>
      <c r="C68" s="472" t="s">
        <v>248</v>
      </c>
      <c r="D68" s="348"/>
      <c r="E68" s="28"/>
      <c r="F68" s="192">
        <v>60</v>
      </c>
      <c r="G68" s="28"/>
    </row>
    <row r="69" spans="1:7" s="12" customFormat="1" ht="29.25" customHeight="1" thickBot="1" x14ac:dyDescent="0.3">
      <c r="A69" s="344"/>
      <c r="B69" s="346"/>
      <c r="C69" s="413" t="s">
        <v>247</v>
      </c>
      <c r="D69" s="342"/>
      <c r="E69" s="28"/>
      <c r="F69" s="184" t="s">
        <v>431</v>
      </c>
      <c r="G69" s="28"/>
    </row>
    <row r="70" spans="1:7" s="12" customFormat="1" ht="39.6" customHeight="1" thickBot="1" x14ac:dyDescent="0.3">
      <c r="A70" s="44" t="s">
        <v>51</v>
      </c>
      <c r="B70" s="24" t="s">
        <v>212</v>
      </c>
      <c r="C70" s="357"/>
      <c r="D70" s="358"/>
      <c r="E70" s="29"/>
      <c r="F70" s="193"/>
      <c r="G70" s="29"/>
    </row>
    <row r="71" spans="1:7" s="12" customFormat="1" ht="40.5" customHeight="1" thickBot="1" x14ac:dyDescent="0.3">
      <c r="A71" s="44" t="s">
        <v>54</v>
      </c>
      <c r="B71" s="24" t="s">
        <v>80</v>
      </c>
      <c r="C71" s="357"/>
      <c r="D71" s="358"/>
      <c r="E71" s="29"/>
      <c r="F71" s="193"/>
      <c r="G71" s="29"/>
    </row>
    <row r="72" spans="1:7" s="12" customFormat="1" ht="80.099999999999994" customHeight="1" thickBot="1" x14ac:dyDescent="0.3">
      <c r="A72" s="44" t="s">
        <v>29</v>
      </c>
      <c r="B72" s="24" t="s">
        <v>211</v>
      </c>
      <c r="C72" s="357"/>
      <c r="D72" s="358"/>
      <c r="E72" s="29"/>
      <c r="F72" s="193"/>
      <c r="G72" s="29"/>
    </row>
    <row r="73" spans="1:7" s="12" customFormat="1" ht="56.45" customHeight="1" thickBot="1" x14ac:dyDescent="0.3">
      <c r="A73" s="44" t="s">
        <v>31</v>
      </c>
      <c r="B73" s="24" t="s">
        <v>210</v>
      </c>
      <c r="C73" s="369" t="s">
        <v>30</v>
      </c>
      <c r="D73" s="370"/>
      <c r="E73" s="28"/>
      <c r="F73" s="193" t="s">
        <v>411</v>
      </c>
      <c r="G73" s="28"/>
    </row>
    <row r="74" spans="1:7" s="12" customFormat="1" ht="27" customHeight="1" thickBot="1" x14ac:dyDescent="0.3">
      <c r="A74" s="44" t="s">
        <v>55</v>
      </c>
      <c r="B74" s="24" t="s">
        <v>95</v>
      </c>
      <c r="C74" s="357"/>
      <c r="D74" s="358"/>
      <c r="E74" s="29"/>
      <c r="F74" s="193"/>
      <c r="G74" s="29"/>
    </row>
    <row r="75" spans="1:7" s="12" customFormat="1" ht="29.45" customHeight="1" thickBot="1" x14ac:dyDescent="0.3">
      <c r="A75" s="44" t="s">
        <v>32</v>
      </c>
      <c r="B75" s="24" t="s">
        <v>96</v>
      </c>
      <c r="C75" s="369" t="s">
        <v>30</v>
      </c>
      <c r="D75" s="370"/>
      <c r="E75" s="28"/>
      <c r="F75" s="193" t="s">
        <v>474</v>
      </c>
      <c r="G75" s="28"/>
    </row>
    <row r="76" spans="1:7" s="12" customFormat="1" ht="40.5" customHeight="1" thickBot="1" x14ac:dyDescent="0.3">
      <c r="A76" s="44" t="s">
        <v>56</v>
      </c>
      <c r="B76" s="24" t="s">
        <v>167</v>
      </c>
      <c r="C76" s="357"/>
      <c r="D76" s="358"/>
      <c r="E76" s="29"/>
      <c r="F76" s="193"/>
      <c r="G76" s="29"/>
    </row>
    <row r="77" spans="1:7" s="12" customFormat="1" ht="27.95" customHeight="1" thickBot="1" x14ac:dyDescent="0.3">
      <c r="A77" s="44" t="s">
        <v>48</v>
      </c>
      <c r="B77" s="24" t="s">
        <v>47</v>
      </c>
      <c r="C77" s="357"/>
      <c r="D77" s="358"/>
      <c r="E77" s="29"/>
      <c r="F77" s="193"/>
      <c r="G77" s="29"/>
    </row>
    <row r="78" spans="1:7" s="12" customFormat="1" ht="30" customHeight="1" thickBot="1" x14ac:dyDescent="0.3">
      <c r="A78" s="44" t="s">
        <v>49</v>
      </c>
      <c r="B78" s="24" t="s">
        <v>103</v>
      </c>
      <c r="C78" s="357"/>
      <c r="D78" s="358"/>
      <c r="E78" s="29"/>
      <c r="F78" s="193"/>
      <c r="G78" s="29"/>
    </row>
    <row r="79" spans="1:7" s="12" customFormat="1" ht="26.25" thickBot="1" x14ac:dyDescent="0.3">
      <c r="A79" s="44" t="s">
        <v>46</v>
      </c>
      <c r="B79" s="24" t="s">
        <v>81</v>
      </c>
      <c r="C79" s="357"/>
      <c r="D79" s="358"/>
      <c r="E79" s="29"/>
      <c r="F79" s="193"/>
      <c r="G79" s="29"/>
    </row>
    <row r="80" spans="1:7" ht="13.5" thickBot="1" x14ac:dyDescent="0.25"/>
    <row r="81" spans="1:6" s="15" customFormat="1" ht="18" customHeight="1" thickBot="1" x14ac:dyDescent="0.3">
      <c r="A81" s="362" t="s">
        <v>168</v>
      </c>
      <c r="B81" s="363"/>
      <c r="C81" s="363"/>
      <c r="D81" s="364"/>
      <c r="E81" s="32"/>
      <c r="F81" s="217" t="s">
        <v>337</v>
      </c>
    </row>
    <row r="82" spans="1:6" s="3" customFormat="1" ht="15" customHeight="1" thickBot="1" x14ac:dyDescent="0.3">
      <c r="A82" s="371" t="s">
        <v>169</v>
      </c>
      <c r="B82" s="372"/>
      <c r="C82" s="372"/>
      <c r="D82" s="373"/>
      <c r="E82" s="33"/>
      <c r="F82" s="246" t="s">
        <v>19</v>
      </c>
    </row>
    <row r="83" spans="1:6" s="12" customFormat="1" x14ac:dyDescent="0.25">
      <c r="A83" s="374" t="s">
        <v>83</v>
      </c>
      <c r="B83" s="375"/>
      <c r="C83" s="375"/>
      <c r="D83" s="376"/>
      <c r="E83" s="29"/>
      <c r="F83" s="251">
        <f>-1010*('PPI Adj'!D6)</f>
        <v>-1178.67</v>
      </c>
    </row>
    <row r="84" spans="1:6" s="12" customFormat="1" x14ac:dyDescent="0.25">
      <c r="A84" s="377" t="s">
        <v>34</v>
      </c>
      <c r="B84" s="378"/>
      <c r="C84" s="378"/>
      <c r="D84" s="379"/>
      <c r="E84" s="28"/>
      <c r="F84" s="252">
        <f>678*('PPI Adj'!D6)</f>
        <v>791.226</v>
      </c>
    </row>
    <row r="85" spans="1:6" s="12" customFormat="1" x14ac:dyDescent="0.25">
      <c r="A85" s="377" t="s">
        <v>35</v>
      </c>
      <c r="B85" s="378"/>
      <c r="C85" s="378"/>
      <c r="D85" s="379"/>
      <c r="E85" s="29"/>
      <c r="F85" s="252">
        <f>318*('PPI Adj'!D6)</f>
        <v>371.10599999999999</v>
      </c>
    </row>
    <row r="86" spans="1:6" s="12" customFormat="1" x14ac:dyDescent="0.25">
      <c r="A86" s="377" t="s">
        <v>36</v>
      </c>
      <c r="B86" s="378"/>
      <c r="C86" s="378"/>
      <c r="D86" s="379"/>
      <c r="E86" s="28"/>
      <c r="F86" s="252">
        <f>738*('PPI Adj'!D6)</f>
        <v>861.24599999999998</v>
      </c>
    </row>
    <row r="87" spans="1:6" s="12" customFormat="1" x14ac:dyDescent="0.25">
      <c r="A87" s="377" t="s">
        <v>60</v>
      </c>
      <c r="B87" s="378"/>
      <c r="C87" s="378"/>
      <c r="D87" s="379"/>
      <c r="E87" s="28"/>
      <c r="F87" s="252">
        <f>95*('PPI Adj'!D6)</f>
        <v>110.86500000000001</v>
      </c>
    </row>
    <row r="88" spans="1:6" s="12" customFormat="1" x14ac:dyDescent="0.25">
      <c r="A88" s="377" t="s">
        <v>61</v>
      </c>
      <c r="B88" s="378"/>
      <c r="C88" s="378"/>
      <c r="D88" s="379"/>
      <c r="E88" s="28"/>
      <c r="F88" s="252">
        <f>386*('PPI Adj'!D6)</f>
        <v>450.46199999999999</v>
      </c>
    </row>
    <row r="89" spans="1:6" s="12" customFormat="1" x14ac:dyDescent="0.25">
      <c r="A89" s="377" t="s">
        <v>86</v>
      </c>
      <c r="B89" s="378"/>
      <c r="C89" s="378"/>
      <c r="D89" s="379"/>
      <c r="E89" s="28"/>
      <c r="F89" s="252">
        <f>856*('PPI Adj'!D6)</f>
        <v>998.952</v>
      </c>
    </row>
    <row r="90" spans="1:6" x14ac:dyDescent="0.2">
      <c r="A90" s="377" t="s">
        <v>85</v>
      </c>
      <c r="B90" s="378"/>
      <c r="C90" s="378"/>
      <c r="D90" s="379"/>
      <c r="E90" s="28"/>
      <c r="F90" s="252">
        <f>7550.4*('PPI Adj'!D6)</f>
        <v>8811.3168000000005</v>
      </c>
    </row>
    <row r="91" spans="1:6" x14ac:dyDescent="0.2">
      <c r="A91" s="377" t="s">
        <v>13</v>
      </c>
      <c r="B91" s="378"/>
      <c r="C91" s="378"/>
      <c r="D91" s="379"/>
      <c r="E91" s="28"/>
      <c r="F91" s="252">
        <f>10801*('PPI Adj'!D6)</f>
        <v>12604.767</v>
      </c>
    </row>
    <row r="92" spans="1:6" x14ac:dyDescent="0.2">
      <c r="A92" s="377" t="s">
        <v>37</v>
      </c>
      <c r="B92" s="378"/>
      <c r="C92" s="378"/>
      <c r="D92" s="379"/>
      <c r="E92" s="29"/>
      <c r="F92" s="252">
        <f>1000*('PPI Adj'!D6)</f>
        <v>1167</v>
      </c>
    </row>
    <row r="93" spans="1:6" x14ac:dyDescent="0.2">
      <c r="A93" s="377" t="s">
        <v>38</v>
      </c>
      <c r="B93" s="378"/>
      <c r="C93" s="378"/>
      <c r="D93" s="379"/>
      <c r="E93" s="29"/>
      <c r="F93" s="252">
        <f>787*('PPI Adj'!D6)</f>
        <v>918.42899999999997</v>
      </c>
    </row>
    <row r="94" spans="1:6" x14ac:dyDescent="0.2">
      <c r="A94" s="377" t="s">
        <v>201</v>
      </c>
      <c r="B94" s="378"/>
      <c r="C94" s="378"/>
      <c r="D94" s="379"/>
      <c r="E94" s="29"/>
      <c r="F94" s="252" t="s">
        <v>183</v>
      </c>
    </row>
    <row r="95" spans="1:6" x14ac:dyDescent="0.2">
      <c r="A95" s="377" t="s">
        <v>39</v>
      </c>
      <c r="B95" s="378"/>
      <c r="C95" s="378"/>
      <c r="D95" s="379"/>
      <c r="E95" s="28"/>
      <c r="F95" s="252">
        <f>678*('PPI Adj'!D6)</f>
        <v>791.226</v>
      </c>
    </row>
    <row r="96" spans="1:6" x14ac:dyDescent="0.2">
      <c r="A96" s="377" t="s">
        <v>88</v>
      </c>
      <c r="B96" s="378"/>
      <c r="C96" s="378"/>
      <c r="D96" s="379"/>
      <c r="E96" s="28"/>
      <c r="F96" s="252">
        <f>4245*('PPI Adj'!D6)</f>
        <v>4953.915</v>
      </c>
    </row>
    <row r="97" spans="1:6" x14ac:dyDescent="0.2">
      <c r="A97" s="377" t="s">
        <v>40</v>
      </c>
      <c r="B97" s="378"/>
      <c r="C97" s="378"/>
      <c r="D97" s="379"/>
      <c r="E97" s="28"/>
      <c r="F97" s="252">
        <f>225*('PPI Adj'!D6)</f>
        <v>262.57499999999999</v>
      </c>
    </row>
    <row r="98" spans="1:6" x14ac:dyDescent="0.2">
      <c r="A98" s="377" t="s">
        <v>14</v>
      </c>
      <c r="B98" s="378"/>
      <c r="C98" s="378"/>
      <c r="D98" s="379"/>
      <c r="E98" s="28"/>
      <c r="F98" s="252">
        <f>10586.67*('PPI Adj'!D6)</f>
        <v>12354.643890000001</v>
      </c>
    </row>
    <row r="99" spans="1:6" x14ac:dyDescent="0.2">
      <c r="A99" s="377" t="s">
        <v>91</v>
      </c>
      <c r="B99" s="378"/>
      <c r="C99" s="378"/>
      <c r="D99" s="379"/>
      <c r="E99" s="28"/>
      <c r="F99" s="252">
        <f>1971*('PPI Adj'!D6)</f>
        <v>2300.1570000000002</v>
      </c>
    </row>
    <row r="100" spans="1:6" x14ac:dyDescent="0.2">
      <c r="A100" s="383" t="s">
        <v>272</v>
      </c>
      <c r="B100" s="384"/>
      <c r="C100" s="384"/>
      <c r="D100" s="385"/>
      <c r="E100" s="28"/>
      <c r="F100" s="253">
        <f>-1036*('PPI Adj'!D6)</f>
        <v>-1209.0119999999999</v>
      </c>
    </row>
    <row r="101" spans="1:6" ht="13.5" thickBot="1" x14ac:dyDescent="0.25">
      <c r="A101" s="380" t="s">
        <v>92</v>
      </c>
      <c r="B101" s="381"/>
      <c r="C101" s="381"/>
      <c r="D101" s="382"/>
      <c r="E101" s="29"/>
      <c r="F101" s="254">
        <f>-2023*('PPI Adj'!D6)</f>
        <v>-2360.8409999999999</v>
      </c>
    </row>
    <row r="102" spans="1:6" ht="13.5" thickBot="1" x14ac:dyDescent="0.25"/>
    <row r="103" spans="1:6" s="15" customFormat="1" ht="18" customHeight="1" thickBot="1" x14ac:dyDescent="0.3">
      <c r="A103" s="362" t="s">
        <v>166</v>
      </c>
      <c r="B103" s="363"/>
      <c r="C103" s="363"/>
      <c r="D103" s="364"/>
      <c r="E103" s="32"/>
      <c r="F103" s="217" t="s">
        <v>337</v>
      </c>
    </row>
    <row r="104" spans="1:6" s="3" customFormat="1" ht="15" customHeight="1" thickBot="1" x14ac:dyDescent="0.3">
      <c r="A104" s="46" t="s">
        <v>33</v>
      </c>
      <c r="B104" s="18" t="s">
        <v>7</v>
      </c>
      <c r="C104" s="386" t="s">
        <v>165</v>
      </c>
      <c r="D104" s="387"/>
      <c r="E104" s="33"/>
      <c r="F104" s="246" t="s">
        <v>19</v>
      </c>
    </row>
    <row r="105" spans="1:6" s="12" customFormat="1" ht="41.1" customHeight="1" thickBot="1" x14ac:dyDescent="0.3">
      <c r="A105" s="47" t="s">
        <v>83</v>
      </c>
      <c r="B105" s="17" t="s">
        <v>146</v>
      </c>
      <c r="C105" s="388"/>
      <c r="D105" s="389"/>
      <c r="E105" s="29"/>
      <c r="F105" s="193"/>
    </row>
    <row r="106" spans="1:6" s="12" customFormat="1" ht="26.25" thickBot="1" x14ac:dyDescent="0.3">
      <c r="A106" s="44" t="s">
        <v>34</v>
      </c>
      <c r="B106" s="24" t="s">
        <v>107</v>
      </c>
      <c r="C106" s="369" t="s">
        <v>30</v>
      </c>
      <c r="D106" s="370"/>
      <c r="E106" s="28"/>
      <c r="F106" s="193" t="s">
        <v>352</v>
      </c>
    </row>
    <row r="107" spans="1:6" s="12" customFormat="1" ht="51.95" customHeight="1" thickBot="1" x14ac:dyDescent="0.3">
      <c r="A107" s="44" t="s">
        <v>35</v>
      </c>
      <c r="B107" s="24" t="s">
        <v>97</v>
      </c>
      <c r="C107" s="357"/>
      <c r="D107" s="358"/>
      <c r="E107" s="29"/>
      <c r="F107" s="193"/>
    </row>
    <row r="108" spans="1:6" s="12" customFormat="1" ht="27" customHeight="1" thickBot="1" x14ac:dyDescent="0.3">
      <c r="A108" s="44" t="s">
        <v>36</v>
      </c>
      <c r="B108" s="24" t="s">
        <v>84</v>
      </c>
      <c r="C108" s="369" t="s">
        <v>99</v>
      </c>
      <c r="D108" s="370"/>
      <c r="E108" s="28"/>
      <c r="F108" s="193" t="s">
        <v>413</v>
      </c>
    </row>
    <row r="109" spans="1:6" s="12" customFormat="1" ht="12.75" customHeight="1" x14ac:dyDescent="0.25">
      <c r="A109" s="343" t="s">
        <v>60</v>
      </c>
      <c r="B109" s="345" t="s">
        <v>133</v>
      </c>
      <c r="C109" s="347" t="s">
        <v>203</v>
      </c>
      <c r="D109" s="348"/>
      <c r="E109" s="28"/>
      <c r="F109" s="192" t="s">
        <v>401</v>
      </c>
    </row>
    <row r="110" spans="1:6" s="12" customFormat="1" x14ac:dyDescent="0.25">
      <c r="A110" s="351"/>
      <c r="B110" s="352"/>
      <c r="C110" s="353" t="s">
        <v>202</v>
      </c>
      <c r="D110" s="354"/>
      <c r="E110" s="28"/>
      <c r="F110" s="180">
        <v>5355</v>
      </c>
    </row>
    <row r="111" spans="1:6" s="12" customFormat="1" x14ac:dyDescent="0.25">
      <c r="A111" s="351"/>
      <c r="B111" s="352"/>
      <c r="C111" s="353" t="s">
        <v>114</v>
      </c>
      <c r="D111" s="354"/>
      <c r="E111" s="28"/>
      <c r="F111" s="180" t="s">
        <v>475</v>
      </c>
    </row>
    <row r="112" spans="1:6" s="12" customFormat="1" ht="30.75" customHeight="1" thickBot="1" x14ac:dyDescent="0.3">
      <c r="A112" s="344"/>
      <c r="B112" s="346"/>
      <c r="C112" s="341" t="s">
        <v>115</v>
      </c>
      <c r="D112" s="342"/>
      <c r="E112" s="28"/>
      <c r="F112" s="184" t="s">
        <v>476</v>
      </c>
    </row>
    <row r="113" spans="1:6" s="12" customFormat="1" ht="12.75" customHeight="1" x14ac:dyDescent="0.25">
      <c r="A113" s="343" t="s">
        <v>61</v>
      </c>
      <c r="B113" s="345" t="s">
        <v>206</v>
      </c>
      <c r="C113" s="347" t="s">
        <v>205</v>
      </c>
      <c r="D113" s="348"/>
      <c r="E113" s="28"/>
      <c r="F113" s="192" t="s">
        <v>477</v>
      </c>
    </row>
    <row r="114" spans="1:6" s="12" customFormat="1" x14ac:dyDescent="0.25">
      <c r="A114" s="351"/>
      <c r="B114" s="352"/>
      <c r="C114" s="353" t="s">
        <v>204</v>
      </c>
      <c r="D114" s="354"/>
      <c r="E114" s="28"/>
      <c r="F114" s="209">
        <v>5675</v>
      </c>
    </row>
    <row r="115" spans="1:6" s="12" customFormat="1" x14ac:dyDescent="0.25">
      <c r="A115" s="351"/>
      <c r="B115" s="352"/>
      <c r="C115" s="353" t="s">
        <v>203</v>
      </c>
      <c r="D115" s="354"/>
      <c r="E115" s="28"/>
      <c r="F115" s="209" t="s">
        <v>477</v>
      </c>
    </row>
    <row r="116" spans="1:6" s="12" customFormat="1" x14ac:dyDescent="0.25">
      <c r="A116" s="351"/>
      <c r="B116" s="352"/>
      <c r="C116" s="353" t="s">
        <v>202</v>
      </c>
      <c r="D116" s="354"/>
      <c r="E116" s="28"/>
      <c r="F116" s="180">
        <v>5355</v>
      </c>
    </row>
    <row r="117" spans="1:6" s="12" customFormat="1" x14ac:dyDescent="0.25">
      <c r="A117" s="351"/>
      <c r="B117" s="352"/>
      <c r="C117" s="353" t="s">
        <v>112</v>
      </c>
      <c r="D117" s="354"/>
      <c r="E117" s="28"/>
      <c r="F117" s="180" t="s">
        <v>478</v>
      </c>
    </row>
    <row r="118" spans="1:6" s="12" customFormat="1" x14ac:dyDescent="0.25">
      <c r="A118" s="351"/>
      <c r="B118" s="352"/>
      <c r="C118" s="353" t="s">
        <v>113</v>
      </c>
      <c r="D118" s="354"/>
      <c r="E118" s="28"/>
      <c r="F118" s="209" t="s">
        <v>418</v>
      </c>
    </row>
    <row r="119" spans="1:6" s="12" customFormat="1" x14ac:dyDescent="0.25">
      <c r="A119" s="351"/>
      <c r="B119" s="352"/>
      <c r="C119" s="353" t="s">
        <v>114</v>
      </c>
      <c r="D119" s="354"/>
      <c r="E119" s="28"/>
      <c r="F119" s="209" t="s">
        <v>478</v>
      </c>
    </row>
    <row r="120" spans="1:6" s="12" customFormat="1" ht="13.5" thickBot="1" x14ac:dyDescent="0.3">
      <c r="A120" s="344"/>
      <c r="B120" s="346"/>
      <c r="C120" s="341" t="s">
        <v>115</v>
      </c>
      <c r="D120" s="342"/>
      <c r="E120" s="28"/>
      <c r="F120" s="184" t="s">
        <v>418</v>
      </c>
    </row>
    <row r="121" spans="1:6" s="12" customFormat="1" ht="143.44999999999999" customHeight="1" thickBot="1" x14ac:dyDescent="0.3">
      <c r="A121" s="48" t="s">
        <v>86</v>
      </c>
      <c r="B121" s="16" t="s">
        <v>143</v>
      </c>
      <c r="C121" s="369" t="s">
        <v>104</v>
      </c>
      <c r="D121" s="370"/>
      <c r="E121" s="28"/>
      <c r="F121" s="192" t="s">
        <v>479</v>
      </c>
    </row>
    <row r="122" spans="1:6" ht="169.5" customHeight="1" thickBot="1" x14ac:dyDescent="0.25">
      <c r="A122" s="44" t="s">
        <v>85</v>
      </c>
      <c r="B122" s="13" t="s">
        <v>170</v>
      </c>
      <c r="C122" s="369" t="s">
        <v>104</v>
      </c>
      <c r="D122" s="370"/>
      <c r="E122" s="28"/>
      <c r="F122" s="193" t="s">
        <v>480</v>
      </c>
    </row>
    <row r="123" spans="1:6" x14ac:dyDescent="0.2">
      <c r="A123" s="343" t="s">
        <v>13</v>
      </c>
      <c r="B123" s="345" t="s">
        <v>98</v>
      </c>
      <c r="C123" s="347" t="s">
        <v>30</v>
      </c>
      <c r="D123" s="348"/>
      <c r="E123" s="28"/>
      <c r="F123" s="192" t="s">
        <v>361</v>
      </c>
    </row>
    <row r="124" spans="1:6" ht="30.6" customHeight="1" thickBot="1" x14ac:dyDescent="0.25">
      <c r="A124" s="344"/>
      <c r="B124" s="346"/>
      <c r="C124" s="341" t="s">
        <v>109</v>
      </c>
      <c r="D124" s="342"/>
      <c r="E124" s="28"/>
      <c r="F124" s="184" t="s">
        <v>362</v>
      </c>
    </row>
    <row r="125" spans="1:6" ht="65.45" customHeight="1" thickBot="1" x14ac:dyDescent="0.25">
      <c r="A125" s="44" t="s">
        <v>37</v>
      </c>
      <c r="B125" s="24" t="s">
        <v>135</v>
      </c>
      <c r="C125" s="357"/>
      <c r="D125" s="358"/>
      <c r="E125" s="29"/>
      <c r="F125" s="193" t="s">
        <v>378</v>
      </c>
    </row>
    <row r="126" spans="1:6" ht="40.5" customHeight="1" thickBot="1" x14ac:dyDescent="0.25">
      <c r="A126" s="44" t="s">
        <v>38</v>
      </c>
      <c r="B126" s="24" t="s">
        <v>87</v>
      </c>
      <c r="C126" s="357"/>
      <c r="D126" s="358"/>
      <c r="E126" s="29"/>
      <c r="F126" s="193"/>
    </row>
    <row r="127" spans="1:6" ht="14.45" customHeight="1" thickBot="1" x14ac:dyDescent="0.25">
      <c r="A127" s="44" t="s">
        <v>201</v>
      </c>
      <c r="B127" s="24" t="s">
        <v>200</v>
      </c>
      <c r="C127" s="369"/>
      <c r="D127" s="370"/>
      <c r="E127" s="28"/>
      <c r="F127" s="193"/>
    </row>
    <row r="128" spans="1:6" ht="28.5" customHeight="1" thickBot="1" x14ac:dyDescent="0.25">
      <c r="A128" s="44" t="s">
        <v>39</v>
      </c>
      <c r="B128" s="24" t="s">
        <v>106</v>
      </c>
      <c r="C128" s="369" t="s">
        <v>105</v>
      </c>
      <c r="D128" s="370"/>
      <c r="E128" s="28"/>
      <c r="F128" s="193" t="s">
        <v>324</v>
      </c>
    </row>
    <row r="129" spans="1:6" x14ac:dyDescent="0.2">
      <c r="A129" s="343" t="s">
        <v>88</v>
      </c>
      <c r="B129" s="345" t="s">
        <v>148</v>
      </c>
      <c r="C129" s="347" t="s">
        <v>100</v>
      </c>
      <c r="D129" s="348"/>
      <c r="E129" s="28"/>
      <c r="F129" s="192" t="s">
        <v>423</v>
      </c>
    </row>
    <row r="130" spans="1:6" ht="108" customHeight="1" thickBot="1" x14ac:dyDescent="0.25">
      <c r="A130" s="344"/>
      <c r="B130" s="346"/>
      <c r="C130" s="341" t="s">
        <v>110</v>
      </c>
      <c r="D130" s="342"/>
      <c r="E130" s="28"/>
      <c r="F130" s="255" t="s">
        <v>438</v>
      </c>
    </row>
    <row r="131" spans="1:6" ht="26.25" thickBot="1" x14ac:dyDescent="0.25">
      <c r="A131" s="44" t="s">
        <v>40</v>
      </c>
      <c r="B131" s="24" t="s">
        <v>137</v>
      </c>
      <c r="C131" s="369" t="s">
        <v>100</v>
      </c>
      <c r="D131" s="370"/>
      <c r="E131" s="28"/>
      <c r="F131" s="184" t="s">
        <v>363</v>
      </c>
    </row>
    <row r="132" spans="1:6" ht="54.6" customHeight="1" thickBot="1" x14ac:dyDescent="0.25">
      <c r="A132" s="44" t="s">
        <v>14</v>
      </c>
      <c r="B132" s="24" t="s">
        <v>138</v>
      </c>
      <c r="C132" s="369" t="s">
        <v>139</v>
      </c>
      <c r="D132" s="370"/>
      <c r="E132" s="28"/>
      <c r="F132" s="193">
        <v>2</v>
      </c>
    </row>
    <row r="133" spans="1:6" ht="64.5" customHeight="1" thickBot="1" x14ac:dyDescent="0.25">
      <c r="A133" s="44" t="s">
        <v>91</v>
      </c>
      <c r="B133" s="24" t="s">
        <v>144</v>
      </c>
      <c r="C133" s="369" t="s">
        <v>100</v>
      </c>
      <c r="D133" s="370"/>
      <c r="E133" s="28"/>
      <c r="F133" s="193" t="s">
        <v>364</v>
      </c>
    </row>
    <row r="134" spans="1:6" ht="66" customHeight="1" thickBot="1" x14ac:dyDescent="0.25">
      <c r="A134" s="44" t="s">
        <v>92</v>
      </c>
      <c r="B134" s="24" t="s">
        <v>145</v>
      </c>
      <c r="C134" s="357"/>
      <c r="D134" s="358"/>
      <c r="E134" s="29"/>
      <c r="F134" s="193"/>
    </row>
  </sheetData>
  <sheetProtection algorithmName="SHA-512" hashValue="/siaVQOhg4KIUrvqz0FHokgHrFA5sV7MFx66pnZhSVv+yxTahk4pqNqbPj7IPq1T6RB4LkKPvjtaePOSO/4fQQ==" saltValue="0ehQOiJhrdL9kuZe4bMFpg==" spinCount="100000" sheet="1" objects="1" scenarios="1"/>
  <dataConsolidate/>
  <mergeCells count="153">
    <mergeCell ref="B22:D22"/>
    <mergeCell ref="A24:D24"/>
    <mergeCell ref="C25:D25"/>
    <mergeCell ref="C26:D26"/>
    <mergeCell ref="B13:D13"/>
    <mergeCell ref="B14:D14"/>
    <mergeCell ref="B15:D15"/>
    <mergeCell ref="B16:D16"/>
    <mergeCell ref="B17:D17"/>
    <mergeCell ref="A19:D19"/>
    <mergeCell ref="B9:D9"/>
    <mergeCell ref="B10:D10"/>
    <mergeCell ref="B11:D11"/>
    <mergeCell ref="B12:D12"/>
    <mergeCell ref="A3:D3"/>
    <mergeCell ref="A4:D4"/>
    <mergeCell ref="A6:D6"/>
    <mergeCell ref="B8:D8"/>
    <mergeCell ref="B21:D21"/>
    <mergeCell ref="C28:D28"/>
    <mergeCell ref="C29:D29"/>
    <mergeCell ref="A30:A34"/>
    <mergeCell ref="B30:B34"/>
    <mergeCell ref="C30:D30"/>
    <mergeCell ref="C31:D31"/>
    <mergeCell ref="C32:D32"/>
    <mergeCell ref="C33:D33"/>
    <mergeCell ref="C34:D34"/>
    <mergeCell ref="A27:A28"/>
    <mergeCell ref="B27:B28"/>
    <mergeCell ref="C27:D27"/>
    <mergeCell ref="A35:A36"/>
    <mergeCell ref="B35:B36"/>
    <mergeCell ref="C35:D35"/>
    <mergeCell ref="C36:D36"/>
    <mergeCell ref="A37:A38"/>
    <mergeCell ref="B37:B38"/>
    <mergeCell ref="C37:D37"/>
    <mergeCell ref="C38:D38"/>
    <mergeCell ref="C39:D39"/>
    <mergeCell ref="A40:A42"/>
    <mergeCell ref="B40:B42"/>
    <mergeCell ref="C40:D40"/>
    <mergeCell ref="C41:D41"/>
    <mergeCell ref="C42:D42"/>
    <mergeCell ref="C43:D43"/>
    <mergeCell ref="A44:A51"/>
    <mergeCell ref="B44:B51"/>
    <mergeCell ref="C44:D44"/>
    <mergeCell ref="C45:D45"/>
    <mergeCell ref="C46:D46"/>
    <mergeCell ref="C47:D47"/>
    <mergeCell ref="C48:D48"/>
    <mergeCell ref="C49:D49"/>
    <mergeCell ref="C50:D50"/>
    <mergeCell ref="C51:D51"/>
    <mergeCell ref="A59:A61"/>
    <mergeCell ref="B59:B61"/>
    <mergeCell ref="C59:D59"/>
    <mergeCell ref="C60:D60"/>
    <mergeCell ref="C61:D61"/>
    <mergeCell ref="C62:D62"/>
    <mergeCell ref="A52:A54"/>
    <mergeCell ref="B52:B54"/>
    <mergeCell ref="C52:D52"/>
    <mergeCell ref="C53:D53"/>
    <mergeCell ref="C54:D54"/>
    <mergeCell ref="C55:D55"/>
    <mergeCell ref="C56:D56"/>
    <mergeCell ref="A57:A58"/>
    <mergeCell ref="B57:B58"/>
    <mergeCell ref="C57:D57"/>
    <mergeCell ref="C58:D58"/>
    <mergeCell ref="C63:D63"/>
    <mergeCell ref="C64:D64"/>
    <mergeCell ref="C65:D65"/>
    <mergeCell ref="C66:D66"/>
    <mergeCell ref="C67:D67"/>
    <mergeCell ref="C76:D76"/>
    <mergeCell ref="C77:D77"/>
    <mergeCell ref="C78:D78"/>
    <mergeCell ref="A68:A69"/>
    <mergeCell ref="B68:B69"/>
    <mergeCell ref="C68:D68"/>
    <mergeCell ref="C69:D69"/>
    <mergeCell ref="C79:D79"/>
    <mergeCell ref="A81:D81"/>
    <mergeCell ref="C70:D70"/>
    <mergeCell ref="C71:D71"/>
    <mergeCell ref="C72:D72"/>
    <mergeCell ref="C73:D73"/>
    <mergeCell ref="C74:D74"/>
    <mergeCell ref="A82:D82"/>
    <mergeCell ref="A83:D83"/>
    <mergeCell ref="C75:D75"/>
    <mergeCell ref="A84:D84"/>
    <mergeCell ref="A85:D85"/>
    <mergeCell ref="A86:D86"/>
    <mergeCell ref="A87:D87"/>
    <mergeCell ref="A99:D99"/>
    <mergeCell ref="A88:D88"/>
    <mergeCell ref="A89:D89"/>
    <mergeCell ref="A90:D90"/>
    <mergeCell ref="A91:D91"/>
    <mergeCell ref="A92:D92"/>
    <mergeCell ref="A93:D93"/>
    <mergeCell ref="A101:D101"/>
    <mergeCell ref="A103:D103"/>
    <mergeCell ref="C104:D104"/>
    <mergeCell ref="C105:D105"/>
    <mergeCell ref="C106:D106"/>
    <mergeCell ref="A94:D94"/>
    <mergeCell ref="A95:D95"/>
    <mergeCell ref="A96:D96"/>
    <mergeCell ref="A97:D97"/>
    <mergeCell ref="A98:D98"/>
    <mergeCell ref="A100:D100"/>
    <mergeCell ref="C121:D121"/>
    <mergeCell ref="C122:D122"/>
    <mergeCell ref="A123:A124"/>
    <mergeCell ref="B123:B124"/>
    <mergeCell ref="C123:D123"/>
    <mergeCell ref="C124:D124"/>
    <mergeCell ref="C107:D107"/>
    <mergeCell ref="C108:D108"/>
    <mergeCell ref="A109:A112"/>
    <mergeCell ref="B109:B112"/>
    <mergeCell ref="C109:D109"/>
    <mergeCell ref="C110:D110"/>
    <mergeCell ref="C111:D111"/>
    <mergeCell ref="C112:D112"/>
    <mergeCell ref="A113:A120"/>
    <mergeCell ref="B113:B120"/>
    <mergeCell ref="C113:D113"/>
    <mergeCell ref="C114:D114"/>
    <mergeCell ref="C115:D115"/>
    <mergeCell ref="C116:D116"/>
    <mergeCell ref="C117:D117"/>
    <mergeCell ref="C118:D118"/>
    <mergeCell ref="C119:D119"/>
    <mergeCell ref="C120:D120"/>
    <mergeCell ref="C131:D131"/>
    <mergeCell ref="C132:D132"/>
    <mergeCell ref="C133:D133"/>
    <mergeCell ref="C134:D134"/>
    <mergeCell ref="C125:D125"/>
    <mergeCell ref="C126:D126"/>
    <mergeCell ref="C127:D127"/>
    <mergeCell ref="C128:D128"/>
    <mergeCell ref="A129:A130"/>
    <mergeCell ref="B129:B130"/>
    <mergeCell ref="C129:D129"/>
    <mergeCell ref="C130:D130"/>
  </mergeCells>
  <conditionalFormatting sqref="C55 C64">
    <cfRule type="expression" dxfId="49" priority="38">
      <formula>#REF!="NO"</formula>
    </cfRule>
  </conditionalFormatting>
  <conditionalFormatting sqref="C40:D42">
    <cfRule type="expression" dxfId="48" priority="8">
      <formula>$F$2="NO"</formula>
    </cfRule>
  </conditionalFormatting>
  <conditionalFormatting sqref="C26:E39">
    <cfRule type="expression" dxfId="47" priority="39">
      <formula>#REF!="NO"</formula>
    </cfRule>
  </conditionalFormatting>
  <conditionalFormatting sqref="C43:E79">
    <cfRule type="expression" dxfId="46" priority="7">
      <formula>#REF!="NO"</formula>
    </cfRule>
  </conditionalFormatting>
  <conditionalFormatting sqref="C105:F134">
    <cfRule type="expression" dxfId="45" priority="12">
      <formula>#REF!="NO"</formula>
    </cfRule>
  </conditionalFormatting>
  <conditionalFormatting sqref="E40:E42">
    <cfRule type="expression" dxfId="44" priority="11">
      <formula>#REF!="NO"</formula>
    </cfRule>
  </conditionalFormatting>
  <conditionalFormatting sqref="E83:F101">
    <cfRule type="expression" dxfId="43" priority="1">
      <formula>#REF!="NO"</formula>
    </cfRule>
  </conditionalFormatting>
  <conditionalFormatting sqref="F8:F17">
    <cfRule type="expression" dxfId="42" priority="35">
      <formula>#REF!="NO"</formula>
    </cfRule>
  </conditionalFormatting>
  <conditionalFormatting sqref="F21:F22">
    <cfRule type="expression" dxfId="41" priority="36">
      <formula>#REF!="NO"</formula>
    </cfRule>
  </conditionalFormatting>
  <conditionalFormatting sqref="F26:G79">
    <cfRule type="expression" dxfId="40" priority="5">
      <formula>#REF!="NO"</formula>
    </cfRule>
  </conditionalFormatting>
  <dataValidations count="3">
    <dataValidation type="decimal" allowBlank="1" showInputMessage="1" showErrorMessage="1" error="The Additional Options NYS Discount entered must be greater than 0%, or less than or equal to 100%." sqref="F22" xr:uid="{00000000-0002-0000-0900-000002000000}">
      <formula1>0.01</formula1>
      <formula2>100</formula2>
    </dataValidation>
    <dataValidation type="decimal" allowBlank="1" showInputMessage="1" showErrorMessage="1" error="Invalid Entry - Bidder must enter a value that is greater than $0" sqref="F21" xr:uid="{00000000-0002-0000-0900-000001000000}">
      <formula1>0</formula1>
      <formula2>9E+21</formula2>
    </dataValidation>
    <dataValidation type="decimal" operator="greaterThanOrEqual" allowBlank="1" showInputMessage="1" showErrorMessage="1" error="The Pickup Allowance cannot be a negative number." sqref="F16" xr:uid="{00000000-0002-0000-0900-000000000000}">
      <formula1>0</formula1>
    </dataValidation>
  </dataValidations>
  <pageMargins left="0.25" right="0.25" top="0.5" bottom="0.25" header="0.3" footer="0.3"/>
  <pageSetup scale="93" fitToHeight="0" orientation="landscape" r:id="rId1"/>
  <rowBreaks count="3" manualBreakCount="3">
    <brk id="22" max="6" man="1"/>
    <brk id="51" max="6" man="1"/>
    <brk id="128" max="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EEFE9-19DD-400C-B384-31EADCA1CF90}">
  <sheetPr codeName="Sheet12">
    <tabColor theme="8"/>
    <pageSetUpPr autoPageBreaks="0" fitToPage="1"/>
  </sheetPr>
  <dimension ref="A1:G134"/>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0.7109375" style="250" customWidth="1"/>
    <col min="7" max="7" width="2.7109375" style="2" customWidth="1"/>
    <col min="8" max="16384" width="9.140625" style="2"/>
  </cols>
  <sheetData>
    <row r="1" spans="1:7" s="64" customFormat="1" ht="18" customHeight="1" x14ac:dyDescent="0.2">
      <c r="A1" s="245" t="str">
        <f>'A (Item 2-G)'!$A$1</f>
        <v>GROUP 40524-23254, SCHOOL BUSES (Statewide)                                                             Attachment 1 - Specifications and Pricing (Revised October 15, 2026)</v>
      </c>
      <c r="F1" s="296"/>
    </row>
    <row r="2" spans="1:7" s="19" customFormat="1" ht="18" customHeight="1" thickBot="1" x14ac:dyDescent="0.3">
      <c r="A2" s="305" t="str">
        <f>'Attachment 1 - Summary'!B2</f>
        <v>PC69862 Matthews Buses, Inc.</v>
      </c>
      <c r="B2" s="20"/>
      <c r="C2" s="20"/>
      <c r="D2" s="20"/>
      <c r="E2" s="20"/>
      <c r="F2" s="273"/>
      <c r="G2" s="20"/>
    </row>
    <row r="3" spans="1:7" ht="24" thickBot="1" x14ac:dyDescent="0.25">
      <c r="A3" s="533" t="s">
        <v>315</v>
      </c>
      <c r="B3" s="534"/>
      <c r="C3" s="534"/>
      <c r="D3" s="535"/>
      <c r="E3" s="8"/>
      <c r="F3" s="274"/>
      <c r="G3" s="8"/>
    </row>
    <row r="4" spans="1:7" ht="51" customHeight="1" thickBot="1" x14ac:dyDescent="0.25">
      <c r="A4" s="329" t="s">
        <v>314</v>
      </c>
      <c r="B4" s="330"/>
      <c r="C4" s="330"/>
      <c r="D4" s="331"/>
      <c r="E4" s="8"/>
      <c r="F4" s="274"/>
      <c r="G4" s="8"/>
    </row>
    <row r="5" spans="1:7" s="4" customFormat="1" ht="11.25" customHeight="1" thickBot="1" x14ac:dyDescent="0.3">
      <c r="A5" s="272"/>
      <c r="B5" s="272"/>
      <c r="C5" s="272"/>
      <c r="D5" s="272"/>
      <c r="E5" s="272"/>
      <c r="F5" s="275"/>
    </row>
    <row r="6" spans="1:7" s="7" customFormat="1" ht="16.5" customHeight="1" thickBot="1" x14ac:dyDescent="0.25">
      <c r="A6" s="335" t="s">
        <v>151</v>
      </c>
      <c r="B6" s="336"/>
      <c r="C6" s="336"/>
      <c r="D6" s="337"/>
      <c r="E6" s="30"/>
      <c r="F6" s="217" t="s">
        <v>337</v>
      </c>
      <c r="G6" s="30"/>
    </row>
    <row r="7" spans="1:7" s="4" customFormat="1" ht="15" customHeight="1" thickBot="1" x14ac:dyDescent="0.3">
      <c r="A7" s="35" t="s">
        <v>6</v>
      </c>
      <c r="B7" s="21" t="s">
        <v>165</v>
      </c>
      <c r="C7" s="26"/>
      <c r="D7" s="34"/>
      <c r="E7" s="31"/>
      <c r="F7" s="246" t="s">
        <v>19</v>
      </c>
      <c r="G7" s="31"/>
    </row>
    <row r="8" spans="1:7" ht="65.25" thickTop="1" thickBot="1" x14ac:dyDescent="0.25">
      <c r="A8" s="36" t="s">
        <v>9</v>
      </c>
      <c r="B8" s="323" t="s">
        <v>152</v>
      </c>
      <c r="C8" s="324"/>
      <c r="D8" s="325"/>
      <c r="E8" s="12"/>
      <c r="F8" s="178" t="s">
        <v>462</v>
      </c>
      <c r="G8" s="12"/>
    </row>
    <row r="9" spans="1:7" s="7" customFormat="1" ht="44.25" customHeight="1" thickTop="1" thickBot="1" x14ac:dyDescent="0.25">
      <c r="A9" s="36" t="s">
        <v>136</v>
      </c>
      <c r="B9" s="323" t="s">
        <v>191</v>
      </c>
      <c r="C9" s="324"/>
      <c r="D9" s="325"/>
      <c r="E9" s="12"/>
      <c r="F9" s="178" t="s">
        <v>481</v>
      </c>
      <c r="G9" s="12"/>
    </row>
    <row r="10" spans="1:7" ht="12.75" customHeight="1" thickTop="1" x14ac:dyDescent="0.2">
      <c r="A10" s="37" t="s">
        <v>0</v>
      </c>
      <c r="B10" s="314" t="s">
        <v>154</v>
      </c>
      <c r="C10" s="315"/>
      <c r="D10" s="316"/>
      <c r="E10" s="12"/>
      <c r="F10" s="180" t="s">
        <v>337</v>
      </c>
      <c r="G10" s="12"/>
    </row>
    <row r="11" spans="1:7" x14ac:dyDescent="0.2">
      <c r="A11" s="37" t="s">
        <v>1</v>
      </c>
      <c r="B11" s="314" t="s">
        <v>153</v>
      </c>
      <c r="C11" s="315"/>
      <c r="D11" s="316"/>
      <c r="E11" s="12"/>
      <c r="F11" s="180" t="s">
        <v>464</v>
      </c>
      <c r="G11" s="12"/>
    </row>
    <row r="12" spans="1:7" ht="12.75" customHeight="1" thickBot="1" x14ac:dyDescent="0.25">
      <c r="A12" s="38" t="s">
        <v>2</v>
      </c>
      <c r="B12" s="317" t="s">
        <v>155</v>
      </c>
      <c r="C12" s="318"/>
      <c r="D12" s="319"/>
      <c r="E12" s="12"/>
      <c r="F12" s="181" t="s">
        <v>465</v>
      </c>
      <c r="G12" s="12"/>
    </row>
    <row r="13" spans="1:7" ht="13.5" thickTop="1" x14ac:dyDescent="0.2">
      <c r="A13" s="37" t="s">
        <v>3</v>
      </c>
      <c r="B13" s="314" t="s">
        <v>157</v>
      </c>
      <c r="C13" s="315"/>
      <c r="D13" s="316"/>
      <c r="E13" s="12"/>
      <c r="F13" s="180" t="s">
        <v>337</v>
      </c>
      <c r="G13" s="12"/>
    </row>
    <row r="14" spans="1:7" x14ac:dyDescent="0.2">
      <c r="A14" s="37" t="s">
        <v>4</v>
      </c>
      <c r="B14" s="314" t="s">
        <v>156</v>
      </c>
      <c r="C14" s="315"/>
      <c r="D14" s="316"/>
      <c r="E14" s="12"/>
      <c r="F14" s="180" t="s">
        <v>465</v>
      </c>
      <c r="G14" s="12"/>
    </row>
    <row r="15" spans="1:7" ht="15.75" customHeight="1" thickBot="1" x14ac:dyDescent="0.25">
      <c r="A15" s="39" t="s">
        <v>5</v>
      </c>
      <c r="B15" s="317" t="s">
        <v>158</v>
      </c>
      <c r="C15" s="318"/>
      <c r="D15" s="319"/>
      <c r="E15" s="12"/>
      <c r="F15" s="182" t="s">
        <v>482</v>
      </c>
      <c r="G15" s="12"/>
    </row>
    <row r="16" spans="1:7" ht="29.25" customHeight="1" thickTop="1" x14ac:dyDescent="0.2">
      <c r="A16" s="37" t="s">
        <v>101</v>
      </c>
      <c r="B16" s="320" t="s">
        <v>160</v>
      </c>
      <c r="C16" s="321"/>
      <c r="D16" s="322"/>
      <c r="E16" s="12"/>
      <c r="F16" s="183">
        <v>100</v>
      </c>
      <c r="G16" s="12"/>
    </row>
    <row r="17" spans="1:7" ht="30.75" customHeight="1" thickBot="1" x14ac:dyDescent="0.25">
      <c r="A17" s="39" t="s">
        <v>43</v>
      </c>
      <c r="B17" s="317" t="s">
        <v>159</v>
      </c>
      <c r="C17" s="318"/>
      <c r="D17" s="319"/>
      <c r="E17" s="12"/>
      <c r="F17" s="182" t="s">
        <v>369</v>
      </c>
      <c r="G17" s="12"/>
    </row>
    <row r="18" spans="1:7" s="9" customFormat="1" ht="14.25" thickTop="1" thickBot="1" x14ac:dyDescent="0.25">
      <c r="C18" s="10"/>
      <c r="D18" s="10"/>
      <c r="E18" s="10"/>
      <c r="F18" s="185"/>
      <c r="G18" s="10"/>
    </row>
    <row r="19" spans="1:7" s="11" customFormat="1" ht="16.5" customHeight="1" thickBot="1" x14ac:dyDescent="0.25">
      <c r="A19" s="335" t="s">
        <v>150</v>
      </c>
      <c r="B19" s="336"/>
      <c r="C19" s="336"/>
      <c r="D19" s="337"/>
      <c r="E19" s="30"/>
      <c r="F19" s="217" t="s">
        <v>337</v>
      </c>
      <c r="G19" s="30"/>
    </row>
    <row r="20" spans="1:7" s="4" customFormat="1" ht="15" customHeight="1" thickBot="1" x14ac:dyDescent="0.3">
      <c r="A20" s="49" t="s">
        <v>6</v>
      </c>
      <c r="B20" s="25" t="s">
        <v>165</v>
      </c>
      <c r="C20" s="27"/>
      <c r="D20" s="42"/>
      <c r="E20" s="31"/>
      <c r="F20" s="246" t="s">
        <v>19</v>
      </c>
      <c r="G20" s="31"/>
    </row>
    <row r="21" spans="1:7" ht="56.25" customHeight="1" x14ac:dyDescent="0.2">
      <c r="A21" s="40" t="s">
        <v>42</v>
      </c>
      <c r="B21" s="338" t="s">
        <v>161</v>
      </c>
      <c r="C21" s="339"/>
      <c r="D21" s="340"/>
      <c r="E21" s="12"/>
      <c r="F21" s="247">
        <f>142242.13*('PPI Adj'!D6)</f>
        <v>165996.56571000002</v>
      </c>
      <c r="G21" s="12"/>
    </row>
    <row r="22" spans="1:7" ht="33" customHeight="1" thickBot="1" x14ac:dyDescent="0.25">
      <c r="A22" s="41" t="s">
        <v>41</v>
      </c>
      <c r="B22" s="359" t="s">
        <v>163</v>
      </c>
      <c r="C22" s="360"/>
      <c r="D22" s="361"/>
      <c r="E22" s="1"/>
      <c r="F22" s="188">
        <v>20</v>
      </c>
      <c r="G22" s="1"/>
    </row>
    <row r="23" spans="1:7" ht="13.5" thickBot="1" x14ac:dyDescent="0.25">
      <c r="A23" s="52"/>
      <c r="B23" s="1"/>
      <c r="C23" s="1"/>
      <c r="D23" s="1"/>
      <c r="E23" s="1"/>
      <c r="F23" s="249"/>
      <c r="G23" s="1"/>
    </row>
    <row r="24" spans="1:7" s="7" customFormat="1" ht="15.75" customHeight="1" thickBot="1" x14ac:dyDescent="0.25">
      <c r="A24" s="362" t="s">
        <v>164</v>
      </c>
      <c r="B24" s="363"/>
      <c r="C24" s="363"/>
      <c r="D24" s="364"/>
      <c r="E24" s="32"/>
      <c r="F24" s="217" t="s">
        <v>337</v>
      </c>
      <c r="G24" s="32"/>
    </row>
    <row r="25" spans="1:7" s="3" customFormat="1" ht="15" customHeight="1" thickBot="1" x14ac:dyDescent="0.3">
      <c r="A25" s="49" t="s">
        <v>6</v>
      </c>
      <c r="B25" s="50" t="s">
        <v>7</v>
      </c>
      <c r="C25" s="365" t="s">
        <v>165</v>
      </c>
      <c r="D25" s="366"/>
      <c r="E25" s="33"/>
      <c r="F25" s="246" t="s">
        <v>19</v>
      </c>
      <c r="G25" s="33"/>
    </row>
    <row r="26" spans="1:7" s="12" customFormat="1" ht="66.95" customHeight="1" thickBot="1" x14ac:dyDescent="0.3">
      <c r="A26" s="43" t="s">
        <v>8</v>
      </c>
      <c r="B26" s="24" t="s">
        <v>311</v>
      </c>
      <c r="C26" s="341" t="s">
        <v>118</v>
      </c>
      <c r="D26" s="342"/>
      <c r="E26" s="28"/>
      <c r="F26" s="184">
        <v>31350</v>
      </c>
      <c r="G26" s="28"/>
    </row>
    <row r="27" spans="1:7" s="12" customFormat="1" x14ac:dyDescent="0.25">
      <c r="A27" s="343" t="s">
        <v>21</v>
      </c>
      <c r="B27" s="345" t="s">
        <v>313</v>
      </c>
      <c r="C27" s="347" t="s">
        <v>67</v>
      </c>
      <c r="D27" s="348"/>
      <c r="E27" s="28"/>
      <c r="F27" s="192">
        <v>11</v>
      </c>
      <c r="G27" s="28"/>
    </row>
    <row r="28" spans="1:7" s="12" customFormat="1" ht="13.5" thickBot="1" x14ac:dyDescent="0.3">
      <c r="A28" s="344"/>
      <c r="B28" s="346"/>
      <c r="C28" s="341" t="s">
        <v>68</v>
      </c>
      <c r="D28" s="342"/>
      <c r="E28" s="28"/>
      <c r="F28" s="184">
        <v>66</v>
      </c>
      <c r="G28" s="28"/>
    </row>
    <row r="29" spans="1:7" s="12" customFormat="1" ht="13.5" thickBot="1" x14ac:dyDescent="0.3">
      <c r="A29" s="44" t="s">
        <v>123</v>
      </c>
      <c r="B29" s="24" t="s">
        <v>108</v>
      </c>
      <c r="C29" s="357"/>
      <c r="D29" s="358"/>
      <c r="E29" s="29"/>
      <c r="F29" s="193"/>
      <c r="G29" s="29"/>
    </row>
    <row r="30" spans="1:7" s="12" customFormat="1" x14ac:dyDescent="0.25">
      <c r="A30" s="343" t="s">
        <v>59</v>
      </c>
      <c r="B30" s="345"/>
      <c r="C30" s="347" t="s">
        <v>58</v>
      </c>
      <c r="D30" s="348"/>
      <c r="E30" s="28"/>
      <c r="F30" s="192">
        <v>174</v>
      </c>
      <c r="G30" s="28"/>
    </row>
    <row r="31" spans="1:7" s="12" customFormat="1" x14ac:dyDescent="0.25">
      <c r="A31" s="351"/>
      <c r="B31" s="352"/>
      <c r="C31" s="353" t="s">
        <v>57</v>
      </c>
      <c r="D31" s="354"/>
      <c r="E31" s="28"/>
      <c r="F31" s="180">
        <v>395.3</v>
      </c>
      <c r="G31" s="28"/>
    </row>
    <row r="32" spans="1:7" s="12" customFormat="1" x14ac:dyDescent="0.25">
      <c r="A32" s="351"/>
      <c r="B32" s="352"/>
      <c r="C32" s="353" t="s">
        <v>69</v>
      </c>
      <c r="D32" s="354"/>
      <c r="E32" s="28"/>
      <c r="F32" s="180">
        <v>90</v>
      </c>
      <c r="G32" s="28"/>
    </row>
    <row r="33" spans="1:7" s="12" customFormat="1" x14ac:dyDescent="0.25">
      <c r="A33" s="351"/>
      <c r="B33" s="352"/>
      <c r="C33" s="355" t="s">
        <v>70</v>
      </c>
      <c r="D33" s="356"/>
      <c r="E33" s="28"/>
      <c r="F33" s="180">
        <v>78</v>
      </c>
      <c r="G33" s="28"/>
    </row>
    <row r="34" spans="1:7" s="12" customFormat="1" ht="13.5" thickBot="1" x14ac:dyDescent="0.3">
      <c r="A34" s="344"/>
      <c r="B34" s="346"/>
      <c r="C34" s="341" t="s">
        <v>111</v>
      </c>
      <c r="D34" s="342"/>
      <c r="E34" s="28"/>
      <c r="F34" s="184">
        <v>255</v>
      </c>
      <c r="G34" s="28"/>
    </row>
    <row r="35" spans="1:7" s="12" customFormat="1" x14ac:dyDescent="0.25">
      <c r="A35" s="343" t="s">
        <v>11</v>
      </c>
      <c r="B35" s="345"/>
      <c r="C35" s="347" t="s">
        <v>24</v>
      </c>
      <c r="D35" s="348"/>
      <c r="E35" s="28"/>
      <c r="F35" s="192">
        <v>11350</v>
      </c>
      <c r="G35" s="28"/>
    </row>
    <row r="36" spans="1:7" s="12" customFormat="1" ht="13.5" thickBot="1" x14ac:dyDescent="0.3">
      <c r="A36" s="344"/>
      <c r="B36" s="346"/>
      <c r="C36" s="341" t="s">
        <v>22</v>
      </c>
      <c r="D36" s="342"/>
      <c r="E36" s="28"/>
      <c r="F36" s="184">
        <v>14600</v>
      </c>
      <c r="G36" s="28"/>
    </row>
    <row r="37" spans="1:7" s="12" customFormat="1" x14ac:dyDescent="0.25">
      <c r="A37" s="343" t="s">
        <v>16</v>
      </c>
      <c r="B37" s="345"/>
      <c r="C37" s="347" t="s">
        <v>24</v>
      </c>
      <c r="D37" s="348"/>
      <c r="E37" s="28"/>
      <c r="F37" s="192">
        <v>20000</v>
      </c>
      <c r="G37" s="28"/>
    </row>
    <row r="38" spans="1:7" s="12" customFormat="1" ht="13.5" thickBot="1" x14ac:dyDescent="0.3">
      <c r="A38" s="344"/>
      <c r="B38" s="346"/>
      <c r="C38" s="349" t="s">
        <v>23</v>
      </c>
      <c r="D38" s="350"/>
      <c r="E38" s="28"/>
      <c r="F38" s="184">
        <v>20000</v>
      </c>
      <c r="G38" s="28"/>
    </row>
    <row r="39" spans="1:7" s="12" customFormat="1" ht="15.6" customHeight="1" thickBot="1" x14ac:dyDescent="0.3">
      <c r="A39" s="44" t="s">
        <v>52</v>
      </c>
      <c r="B39" s="24" t="s">
        <v>53</v>
      </c>
      <c r="C39" s="357"/>
      <c r="D39" s="358"/>
      <c r="E39" s="29"/>
      <c r="F39" s="193"/>
      <c r="G39" s="29"/>
    </row>
    <row r="40" spans="1:7" s="12" customFormat="1" x14ac:dyDescent="0.25">
      <c r="A40" s="343" t="s">
        <v>219</v>
      </c>
      <c r="B40" s="345" t="s">
        <v>222</v>
      </c>
      <c r="C40" s="347" t="s">
        <v>221</v>
      </c>
      <c r="D40" s="348"/>
      <c r="E40" s="28"/>
      <c r="F40" s="192" t="s">
        <v>467</v>
      </c>
      <c r="G40" s="28"/>
    </row>
    <row r="41" spans="1:7" s="12" customFormat="1" ht="14.45" customHeight="1" x14ac:dyDescent="0.25">
      <c r="A41" s="351"/>
      <c r="B41" s="352"/>
      <c r="C41" s="353" t="s">
        <v>220</v>
      </c>
      <c r="D41" s="354"/>
      <c r="E41" s="28"/>
      <c r="F41" s="180" t="s">
        <v>428</v>
      </c>
      <c r="G41" s="28"/>
    </row>
    <row r="42" spans="1:7" s="12" customFormat="1" ht="71.099999999999994" customHeight="1" thickBot="1" x14ac:dyDescent="0.3">
      <c r="A42" s="344"/>
      <c r="B42" s="352"/>
      <c r="C42" s="349"/>
      <c r="D42" s="350"/>
      <c r="E42" s="28"/>
      <c r="F42" s="179"/>
      <c r="G42" s="28"/>
    </row>
    <row r="43" spans="1:7" s="12" customFormat="1" ht="29.45" customHeight="1" thickBot="1" x14ac:dyDescent="0.3">
      <c r="A43" s="44" t="s">
        <v>219</v>
      </c>
      <c r="B43" s="24" t="s">
        <v>218</v>
      </c>
      <c r="C43" s="357"/>
      <c r="D43" s="358"/>
      <c r="E43" s="29"/>
      <c r="F43" s="193"/>
      <c r="G43" s="29"/>
    </row>
    <row r="44" spans="1:7" s="12" customFormat="1" ht="13.5" thickBot="1" x14ac:dyDescent="0.3">
      <c r="A44" s="367" t="s">
        <v>12</v>
      </c>
      <c r="B44" s="368" t="s">
        <v>142</v>
      </c>
      <c r="C44" s="347" t="s">
        <v>174</v>
      </c>
      <c r="D44" s="348"/>
      <c r="E44" s="28"/>
      <c r="F44" s="192" t="s">
        <v>401</v>
      </c>
      <c r="G44" s="28"/>
    </row>
    <row r="45" spans="1:7" s="12" customFormat="1" ht="13.5" thickBot="1" x14ac:dyDescent="0.3">
      <c r="A45" s="367"/>
      <c r="B45" s="368"/>
      <c r="C45" s="353" t="s">
        <v>175</v>
      </c>
      <c r="D45" s="354"/>
      <c r="E45" s="28"/>
      <c r="F45" s="180">
        <v>5675</v>
      </c>
      <c r="G45" s="28"/>
    </row>
    <row r="46" spans="1:7" s="12" customFormat="1" ht="13.5" thickBot="1" x14ac:dyDescent="0.3">
      <c r="A46" s="367"/>
      <c r="B46" s="368"/>
      <c r="C46" s="353" t="s">
        <v>176</v>
      </c>
      <c r="D46" s="354"/>
      <c r="E46" s="28"/>
      <c r="F46" s="209" t="s">
        <v>401</v>
      </c>
      <c r="G46" s="28"/>
    </row>
    <row r="47" spans="1:7" s="12" customFormat="1" ht="13.5" thickBot="1" x14ac:dyDescent="0.3">
      <c r="A47" s="367"/>
      <c r="B47" s="368"/>
      <c r="C47" s="353" t="s">
        <v>177</v>
      </c>
      <c r="D47" s="354"/>
      <c r="E47" s="28"/>
      <c r="F47" s="180">
        <v>5355</v>
      </c>
      <c r="G47" s="28"/>
    </row>
    <row r="48" spans="1:7" s="12" customFormat="1" ht="13.5" thickBot="1" x14ac:dyDescent="0.3">
      <c r="A48" s="367"/>
      <c r="B48" s="368"/>
      <c r="C48" s="353" t="s">
        <v>112</v>
      </c>
      <c r="D48" s="354"/>
      <c r="E48" s="28"/>
      <c r="F48" s="180" t="s">
        <v>468</v>
      </c>
      <c r="G48" s="28"/>
    </row>
    <row r="49" spans="1:7" s="12" customFormat="1" ht="13.5" thickBot="1" x14ac:dyDescent="0.3">
      <c r="A49" s="367"/>
      <c r="B49" s="368"/>
      <c r="C49" s="353" t="s">
        <v>113</v>
      </c>
      <c r="D49" s="354"/>
      <c r="E49" s="28"/>
      <c r="F49" s="180" t="s">
        <v>469</v>
      </c>
      <c r="G49" s="28"/>
    </row>
    <row r="50" spans="1:7" s="12" customFormat="1" ht="13.5" thickBot="1" x14ac:dyDescent="0.3">
      <c r="A50" s="367"/>
      <c r="B50" s="368"/>
      <c r="C50" s="355" t="s">
        <v>114</v>
      </c>
      <c r="D50" s="356"/>
      <c r="E50" s="28"/>
      <c r="F50" s="180" t="s">
        <v>468</v>
      </c>
      <c r="G50" s="28"/>
    </row>
    <row r="51" spans="1:7" s="12" customFormat="1" ht="13.5" thickBot="1" x14ac:dyDescent="0.3">
      <c r="A51" s="367"/>
      <c r="B51" s="368"/>
      <c r="C51" s="341" t="s">
        <v>115</v>
      </c>
      <c r="D51" s="342"/>
      <c r="E51" s="28"/>
      <c r="F51" s="184" t="s">
        <v>469</v>
      </c>
      <c r="G51" s="28"/>
    </row>
    <row r="52" spans="1:7" s="12" customFormat="1" x14ac:dyDescent="0.25">
      <c r="A52" s="343" t="s">
        <v>10</v>
      </c>
      <c r="B52" s="345" t="s">
        <v>217</v>
      </c>
      <c r="C52" s="347" t="s">
        <v>116</v>
      </c>
      <c r="D52" s="348"/>
      <c r="E52" s="28"/>
      <c r="F52" s="192">
        <v>5</v>
      </c>
      <c r="G52" s="28"/>
    </row>
    <row r="53" spans="1:7" s="12" customFormat="1" x14ac:dyDescent="0.25">
      <c r="A53" s="351"/>
      <c r="B53" s="352"/>
      <c r="C53" s="353" t="s">
        <v>117</v>
      </c>
      <c r="D53" s="354"/>
      <c r="E53" s="28"/>
      <c r="F53" s="180" t="s">
        <v>344</v>
      </c>
      <c r="G53" s="28"/>
    </row>
    <row r="54" spans="1:7" s="12" customFormat="1" ht="26.25" thickBot="1" x14ac:dyDescent="0.3">
      <c r="A54" s="351"/>
      <c r="B54" s="352"/>
      <c r="C54" s="349" t="s">
        <v>71</v>
      </c>
      <c r="D54" s="350"/>
      <c r="E54" s="28"/>
      <c r="F54" s="179" t="s">
        <v>470</v>
      </c>
      <c r="G54" s="28"/>
    </row>
    <row r="55" spans="1:7" s="12" customFormat="1" ht="78" customHeight="1" thickBot="1" x14ac:dyDescent="0.3">
      <c r="A55" s="45" t="s">
        <v>9</v>
      </c>
      <c r="B55" s="22" t="s">
        <v>254</v>
      </c>
      <c r="C55" s="355"/>
      <c r="D55" s="356"/>
      <c r="E55" s="28"/>
      <c r="F55" s="192"/>
      <c r="G55" s="28"/>
    </row>
    <row r="56" spans="1:7" s="12" customFormat="1" ht="29.45" customHeight="1" thickBot="1" x14ac:dyDescent="0.3">
      <c r="A56" s="45" t="s">
        <v>253</v>
      </c>
      <c r="B56" s="22" t="s">
        <v>252</v>
      </c>
      <c r="C56" s="357"/>
      <c r="D56" s="358"/>
      <c r="E56" s="29"/>
      <c r="F56" s="196"/>
      <c r="G56" s="29"/>
    </row>
    <row r="57" spans="1:7" s="12" customFormat="1" ht="25.5" x14ac:dyDescent="0.25">
      <c r="A57" s="343" t="s">
        <v>25</v>
      </c>
      <c r="B57" s="345" t="s">
        <v>93</v>
      </c>
      <c r="C57" s="347" t="s">
        <v>72</v>
      </c>
      <c r="D57" s="348"/>
      <c r="E57" s="28"/>
      <c r="F57" s="192" t="s">
        <v>471</v>
      </c>
      <c r="G57" s="28"/>
    </row>
    <row r="58" spans="1:7" s="12" customFormat="1" ht="59.1" customHeight="1" thickBot="1" x14ac:dyDescent="0.3">
      <c r="A58" s="344"/>
      <c r="B58" s="346"/>
      <c r="C58" s="341" t="s">
        <v>73</v>
      </c>
      <c r="D58" s="342"/>
      <c r="E58" s="28"/>
      <c r="F58" s="184">
        <v>185</v>
      </c>
      <c r="G58" s="28"/>
    </row>
    <row r="59" spans="1:7" s="12" customFormat="1" x14ac:dyDescent="0.25">
      <c r="A59" s="343" t="s">
        <v>26</v>
      </c>
      <c r="B59" s="345" t="s">
        <v>251</v>
      </c>
      <c r="C59" s="347" t="s">
        <v>74</v>
      </c>
      <c r="D59" s="348"/>
      <c r="E59" s="28"/>
      <c r="F59" s="192" t="s">
        <v>472</v>
      </c>
      <c r="G59" s="28"/>
    </row>
    <row r="60" spans="1:7" s="12" customFormat="1" x14ac:dyDescent="0.25">
      <c r="A60" s="351"/>
      <c r="B60" s="352"/>
      <c r="C60" s="353" t="s">
        <v>75</v>
      </c>
      <c r="D60" s="354"/>
      <c r="E60" s="28"/>
      <c r="F60" s="180">
        <v>3</v>
      </c>
      <c r="G60" s="28"/>
    </row>
    <row r="61" spans="1:7" s="12" customFormat="1" ht="32.25" customHeight="1" thickBot="1" x14ac:dyDescent="0.3">
      <c r="A61" s="344"/>
      <c r="B61" s="346"/>
      <c r="C61" s="341" t="s">
        <v>250</v>
      </c>
      <c r="D61" s="342"/>
      <c r="E61" s="28"/>
      <c r="F61" s="184" t="s">
        <v>473</v>
      </c>
      <c r="G61" s="28"/>
    </row>
    <row r="62" spans="1:7" s="12" customFormat="1" ht="15.95" customHeight="1" thickBot="1" x14ac:dyDescent="0.3">
      <c r="A62" s="44" t="s">
        <v>44</v>
      </c>
      <c r="B62" s="24" t="s">
        <v>45</v>
      </c>
      <c r="C62" s="357"/>
      <c r="D62" s="358"/>
      <c r="E62" s="29"/>
      <c r="F62" s="196"/>
      <c r="G62" s="29"/>
    </row>
    <row r="63" spans="1:7" s="12" customFormat="1" ht="28.5" customHeight="1" thickBot="1" x14ac:dyDescent="0.3">
      <c r="A63" s="44" t="s">
        <v>44</v>
      </c>
      <c r="B63" s="24" t="s">
        <v>63</v>
      </c>
      <c r="C63" s="357"/>
      <c r="D63" s="358"/>
      <c r="E63" s="29"/>
      <c r="F63" s="196"/>
      <c r="G63" s="29"/>
    </row>
    <row r="64" spans="1:7" s="12" customFormat="1" ht="27.95" customHeight="1" thickBot="1" x14ac:dyDescent="0.3">
      <c r="A64" s="44" t="s">
        <v>44</v>
      </c>
      <c r="B64" s="24" t="s">
        <v>64</v>
      </c>
      <c r="C64" s="357"/>
      <c r="D64" s="358"/>
      <c r="E64" s="29"/>
      <c r="F64" s="196"/>
      <c r="G64" s="29"/>
    </row>
    <row r="65" spans="1:7" s="12" customFormat="1" ht="30" customHeight="1" thickBot="1" x14ac:dyDescent="0.3">
      <c r="A65" s="44" t="s">
        <v>50</v>
      </c>
      <c r="B65" s="24" t="s">
        <v>216</v>
      </c>
      <c r="C65" s="357"/>
      <c r="D65" s="358"/>
      <c r="E65" s="29"/>
      <c r="F65" s="196"/>
      <c r="G65" s="29"/>
    </row>
    <row r="66" spans="1:7" s="12" customFormat="1" ht="15.95" customHeight="1" thickBot="1" x14ac:dyDescent="0.3">
      <c r="A66" s="44" t="s">
        <v>27</v>
      </c>
      <c r="B66" s="24" t="s">
        <v>215</v>
      </c>
      <c r="C66" s="369" t="s">
        <v>77</v>
      </c>
      <c r="D66" s="370"/>
      <c r="E66" s="28"/>
      <c r="F66" s="193" t="s">
        <v>409</v>
      </c>
      <c r="G66" s="28"/>
    </row>
    <row r="67" spans="1:7" s="12" customFormat="1" ht="53.1" customHeight="1" thickBot="1" x14ac:dyDescent="0.3">
      <c r="A67" s="44" t="s">
        <v>214</v>
      </c>
      <c r="B67" s="24" t="s">
        <v>213</v>
      </c>
      <c r="C67" s="369"/>
      <c r="D67" s="370"/>
      <c r="E67" s="28"/>
      <c r="F67" s="193"/>
      <c r="G67" s="28"/>
    </row>
    <row r="68" spans="1:7" s="12" customFormat="1" ht="15" customHeight="1" x14ac:dyDescent="0.25">
      <c r="A68" s="343" t="s">
        <v>28</v>
      </c>
      <c r="B68" s="345" t="s">
        <v>264</v>
      </c>
      <c r="C68" s="472" t="s">
        <v>248</v>
      </c>
      <c r="D68" s="348"/>
      <c r="E68" s="28"/>
      <c r="F68" s="192">
        <v>60</v>
      </c>
      <c r="G68" s="28"/>
    </row>
    <row r="69" spans="1:7" s="12" customFormat="1" ht="29.25" customHeight="1" thickBot="1" x14ac:dyDescent="0.3">
      <c r="A69" s="344"/>
      <c r="B69" s="346"/>
      <c r="C69" s="413" t="s">
        <v>247</v>
      </c>
      <c r="D69" s="342"/>
      <c r="E69" s="28"/>
      <c r="F69" s="184" t="s">
        <v>431</v>
      </c>
      <c r="G69" s="28"/>
    </row>
    <row r="70" spans="1:7" s="12" customFormat="1" ht="40.5" customHeight="1" thickBot="1" x14ac:dyDescent="0.3">
      <c r="A70" s="44" t="s">
        <v>51</v>
      </c>
      <c r="B70" s="24" t="s">
        <v>212</v>
      </c>
      <c r="C70" s="357"/>
      <c r="D70" s="358"/>
      <c r="E70" s="29"/>
      <c r="F70" s="193"/>
      <c r="G70" s="29"/>
    </row>
    <row r="71" spans="1:7" s="12" customFormat="1" ht="39" thickBot="1" x14ac:dyDescent="0.3">
      <c r="A71" s="44" t="s">
        <v>54</v>
      </c>
      <c r="B71" s="24" t="s">
        <v>80</v>
      </c>
      <c r="C71" s="357"/>
      <c r="D71" s="358"/>
      <c r="E71" s="29"/>
      <c r="F71" s="193"/>
      <c r="G71" s="29"/>
    </row>
    <row r="72" spans="1:7" s="12" customFormat="1" ht="79.5" customHeight="1" thickBot="1" x14ac:dyDescent="0.3">
      <c r="A72" s="44" t="s">
        <v>29</v>
      </c>
      <c r="B72" s="24" t="s">
        <v>211</v>
      </c>
      <c r="C72" s="357"/>
      <c r="D72" s="358"/>
      <c r="E72" s="29"/>
      <c r="F72" s="193"/>
      <c r="G72" s="29"/>
    </row>
    <row r="73" spans="1:7" s="12" customFormat="1" ht="51.95" customHeight="1" thickBot="1" x14ac:dyDescent="0.3">
      <c r="A73" s="44" t="s">
        <v>31</v>
      </c>
      <c r="B73" s="24" t="s">
        <v>210</v>
      </c>
      <c r="C73" s="369" t="s">
        <v>30</v>
      </c>
      <c r="D73" s="370"/>
      <c r="E73" s="28"/>
      <c r="F73" s="193" t="s">
        <v>411</v>
      </c>
      <c r="G73" s="28"/>
    </row>
    <row r="74" spans="1:7" s="12" customFormat="1" ht="30" customHeight="1" thickBot="1" x14ac:dyDescent="0.3">
      <c r="A74" s="44" t="s">
        <v>55</v>
      </c>
      <c r="B74" s="24" t="s">
        <v>95</v>
      </c>
      <c r="C74" s="357"/>
      <c r="D74" s="358"/>
      <c r="E74" s="29"/>
      <c r="F74" s="193"/>
      <c r="G74" s="29"/>
    </row>
    <row r="75" spans="1:7" s="12" customFormat="1" ht="29.45" customHeight="1" thickBot="1" x14ac:dyDescent="0.3">
      <c r="A75" s="44" t="s">
        <v>32</v>
      </c>
      <c r="B75" s="24" t="s">
        <v>96</v>
      </c>
      <c r="C75" s="369" t="s">
        <v>30</v>
      </c>
      <c r="D75" s="370"/>
      <c r="E75" s="28"/>
      <c r="F75" s="193" t="s">
        <v>474</v>
      </c>
      <c r="G75" s="28"/>
    </row>
    <row r="76" spans="1:7" s="12" customFormat="1" ht="41.1" customHeight="1" thickBot="1" x14ac:dyDescent="0.3">
      <c r="A76" s="44" t="s">
        <v>56</v>
      </c>
      <c r="B76" s="24" t="s">
        <v>167</v>
      </c>
      <c r="C76" s="357"/>
      <c r="D76" s="358"/>
      <c r="E76" s="29"/>
      <c r="F76" s="193"/>
      <c r="G76" s="29"/>
    </row>
    <row r="77" spans="1:7" s="12" customFormat="1" ht="27" customHeight="1" thickBot="1" x14ac:dyDescent="0.3">
      <c r="A77" s="44" t="s">
        <v>48</v>
      </c>
      <c r="B77" s="24" t="s">
        <v>47</v>
      </c>
      <c r="C77" s="357"/>
      <c r="D77" s="358"/>
      <c r="E77" s="29"/>
      <c r="F77" s="193"/>
      <c r="G77" s="29"/>
    </row>
    <row r="78" spans="1:7" s="12" customFormat="1" ht="29.1" customHeight="1" thickBot="1" x14ac:dyDescent="0.3">
      <c r="A78" s="44" t="s">
        <v>49</v>
      </c>
      <c r="B78" s="24" t="s">
        <v>103</v>
      </c>
      <c r="C78" s="357"/>
      <c r="D78" s="358"/>
      <c r="E78" s="29"/>
      <c r="F78" s="193"/>
      <c r="G78" s="29"/>
    </row>
    <row r="79" spans="1:7" s="12" customFormat="1" ht="26.25" thickBot="1" x14ac:dyDescent="0.3">
      <c r="A79" s="44" t="s">
        <v>46</v>
      </c>
      <c r="B79" s="24" t="s">
        <v>81</v>
      </c>
      <c r="C79" s="357"/>
      <c r="D79" s="358"/>
      <c r="E79" s="29"/>
      <c r="F79" s="193"/>
      <c r="G79" s="29"/>
    </row>
    <row r="80" spans="1:7" ht="13.5" thickBot="1" x14ac:dyDescent="0.25"/>
    <row r="81" spans="1:6" s="15" customFormat="1" ht="18" customHeight="1" thickBot="1" x14ac:dyDescent="0.3">
      <c r="A81" s="362" t="s">
        <v>168</v>
      </c>
      <c r="B81" s="363"/>
      <c r="C81" s="363"/>
      <c r="D81" s="364"/>
      <c r="E81" s="32"/>
      <c r="F81" s="217" t="s">
        <v>337</v>
      </c>
    </row>
    <row r="82" spans="1:6" s="3" customFormat="1" ht="15" customHeight="1" thickBot="1" x14ac:dyDescent="0.3">
      <c r="A82" s="371" t="s">
        <v>169</v>
      </c>
      <c r="B82" s="372"/>
      <c r="C82" s="372"/>
      <c r="D82" s="373"/>
      <c r="E82" s="33"/>
      <c r="F82" s="246" t="s">
        <v>19</v>
      </c>
    </row>
    <row r="83" spans="1:6" s="12" customFormat="1" x14ac:dyDescent="0.25">
      <c r="A83" s="374" t="s">
        <v>83</v>
      </c>
      <c r="B83" s="375"/>
      <c r="C83" s="375"/>
      <c r="D83" s="376"/>
      <c r="E83" s="29"/>
      <c r="F83" s="251">
        <f>-1010*('PPI Adj'!D6)</f>
        <v>-1178.67</v>
      </c>
    </row>
    <row r="84" spans="1:6" s="12" customFormat="1" x14ac:dyDescent="0.25">
      <c r="A84" s="377" t="s">
        <v>34</v>
      </c>
      <c r="B84" s="378"/>
      <c r="C84" s="378"/>
      <c r="D84" s="379"/>
      <c r="E84" s="28"/>
      <c r="F84" s="252">
        <f>678*('PPI Adj'!D6)</f>
        <v>791.226</v>
      </c>
    </row>
    <row r="85" spans="1:6" s="12" customFormat="1" x14ac:dyDescent="0.25">
      <c r="A85" s="377" t="s">
        <v>35</v>
      </c>
      <c r="B85" s="378"/>
      <c r="C85" s="378"/>
      <c r="D85" s="379"/>
      <c r="E85" s="29"/>
      <c r="F85" s="252">
        <f>376*('PPI Adj'!D6)</f>
        <v>438.79200000000003</v>
      </c>
    </row>
    <row r="86" spans="1:6" s="12" customFormat="1" x14ac:dyDescent="0.25">
      <c r="A86" s="377" t="s">
        <v>36</v>
      </c>
      <c r="B86" s="378"/>
      <c r="C86" s="378"/>
      <c r="D86" s="379"/>
      <c r="E86" s="28"/>
      <c r="F86" s="252">
        <f>738*('PPI Adj'!D6)</f>
        <v>861.24599999999998</v>
      </c>
    </row>
    <row r="87" spans="1:6" s="12" customFormat="1" x14ac:dyDescent="0.25">
      <c r="A87" s="377" t="s">
        <v>60</v>
      </c>
      <c r="B87" s="378"/>
      <c r="C87" s="378"/>
      <c r="D87" s="379"/>
      <c r="E87" s="28"/>
      <c r="F87" s="252">
        <f>95*('PPI Adj'!D6)</f>
        <v>110.86500000000001</v>
      </c>
    </row>
    <row r="88" spans="1:6" s="12" customFormat="1" x14ac:dyDescent="0.25">
      <c r="A88" s="377" t="s">
        <v>61</v>
      </c>
      <c r="B88" s="378"/>
      <c r="C88" s="378"/>
      <c r="D88" s="379"/>
      <c r="E88" s="28"/>
      <c r="F88" s="252">
        <f>386*('PPI Adj'!D6)</f>
        <v>450.46199999999999</v>
      </c>
    </row>
    <row r="89" spans="1:6" s="12" customFormat="1" x14ac:dyDescent="0.25">
      <c r="A89" s="377" t="s">
        <v>86</v>
      </c>
      <c r="B89" s="378"/>
      <c r="C89" s="378"/>
      <c r="D89" s="379"/>
      <c r="E89" s="28"/>
      <c r="F89" s="252">
        <f>856*('PPI Adj'!D6)</f>
        <v>998.952</v>
      </c>
    </row>
    <row r="90" spans="1:6" x14ac:dyDescent="0.2">
      <c r="A90" s="377" t="s">
        <v>85</v>
      </c>
      <c r="B90" s="378"/>
      <c r="C90" s="378"/>
      <c r="D90" s="379"/>
      <c r="E90" s="28"/>
      <c r="F90" s="252">
        <f>7550.4*('PPI Adj'!D6)</f>
        <v>8811.3168000000005</v>
      </c>
    </row>
    <row r="91" spans="1:6" x14ac:dyDescent="0.2">
      <c r="A91" s="377" t="s">
        <v>13</v>
      </c>
      <c r="B91" s="378"/>
      <c r="C91" s="378"/>
      <c r="D91" s="379"/>
      <c r="E91" s="28"/>
      <c r="F91" s="252">
        <f>10801*('PPI Adj'!D6)</f>
        <v>12604.767</v>
      </c>
    </row>
    <row r="92" spans="1:6" x14ac:dyDescent="0.2">
      <c r="A92" s="377" t="s">
        <v>37</v>
      </c>
      <c r="B92" s="378"/>
      <c r="C92" s="378"/>
      <c r="D92" s="379"/>
      <c r="E92" s="29"/>
      <c r="F92" s="252">
        <f>1000*('PPI Adj'!D6)</f>
        <v>1167</v>
      </c>
    </row>
    <row r="93" spans="1:6" x14ac:dyDescent="0.2">
      <c r="A93" s="377" t="s">
        <v>38</v>
      </c>
      <c r="B93" s="378"/>
      <c r="C93" s="378"/>
      <c r="D93" s="379"/>
      <c r="E93" s="29"/>
      <c r="F93" s="252">
        <f>787*('PPI Adj'!D6)</f>
        <v>918.42899999999997</v>
      </c>
    </row>
    <row r="94" spans="1:6" x14ac:dyDescent="0.2">
      <c r="A94" s="377" t="s">
        <v>201</v>
      </c>
      <c r="B94" s="378"/>
      <c r="C94" s="378"/>
      <c r="D94" s="379"/>
      <c r="E94" s="29"/>
      <c r="F94" s="252" t="s">
        <v>183</v>
      </c>
    </row>
    <row r="95" spans="1:6" x14ac:dyDescent="0.2">
      <c r="A95" s="377" t="s">
        <v>39</v>
      </c>
      <c r="B95" s="378"/>
      <c r="C95" s="378"/>
      <c r="D95" s="379"/>
      <c r="E95" s="28"/>
      <c r="F95" s="252">
        <f>678*('PPI Adj'!D6)</f>
        <v>791.226</v>
      </c>
    </row>
    <row r="96" spans="1:6" x14ac:dyDescent="0.2">
      <c r="A96" s="377" t="s">
        <v>88</v>
      </c>
      <c r="B96" s="378"/>
      <c r="C96" s="378"/>
      <c r="D96" s="379"/>
      <c r="E96" s="28"/>
      <c r="F96" s="252">
        <f>4245*('PPI Adj'!D6)</f>
        <v>4953.915</v>
      </c>
    </row>
    <row r="97" spans="1:6" x14ac:dyDescent="0.2">
      <c r="A97" s="377" t="s">
        <v>40</v>
      </c>
      <c r="B97" s="378"/>
      <c r="C97" s="378"/>
      <c r="D97" s="379"/>
      <c r="E97" s="28"/>
      <c r="F97" s="252">
        <f>225*('PPI Adj'!D6)</f>
        <v>262.57499999999999</v>
      </c>
    </row>
    <row r="98" spans="1:6" x14ac:dyDescent="0.2">
      <c r="A98" s="377" t="s">
        <v>14</v>
      </c>
      <c r="B98" s="378"/>
      <c r="C98" s="378"/>
      <c r="D98" s="379"/>
      <c r="E98" s="28"/>
      <c r="F98" s="252">
        <f>10621.47*('PPI Adj'!D6)</f>
        <v>12395.25549</v>
      </c>
    </row>
    <row r="99" spans="1:6" x14ac:dyDescent="0.2">
      <c r="A99" s="377" t="s">
        <v>91</v>
      </c>
      <c r="B99" s="378"/>
      <c r="C99" s="378"/>
      <c r="D99" s="379"/>
      <c r="E99" s="28"/>
      <c r="F99" s="252">
        <f>1971*('PPI Adj'!D6)</f>
        <v>2300.1570000000002</v>
      </c>
    </row>
    <row r="100" spans="1:6" x14ac:dyDescent="0.2">
      <c r="A100" s="383" t="s">
        <v>272</v>
      </c>
      <c r="B100" s="384"/>
      <c r="C100" s="384"/>
      <c r="D100" s="385"/>
      <c r="E100" s="28"/>
      <c r="F100" s="253">
        <f>-1036*('PPI Adj'!D6)</f>
        <v>-1209.0119999999999</v>
      </c>
    </row>
    <row r="101" spans="1:6" ht="13.5" thickBot="1" x14ac:dyDescent="0.25">
      <c r="A101" s="380" t="s">
        <v>92</v>
      </c>
      <c r="B101" s="381"/>
      <c r="C101" s="381"/>
      <c r="D101" s="382"/>
      <c r="E101" s="29"/>
      <c r="F101" s="254">
        <f>-2023*('PPI Adj'!D6)</f>
        <v>-2360.8409999999999</v>
      </c>
    </row>
    <row r="102" spans="1:6" ht="13.5" thickBot="1" x14ac:dyDescent="0.25"/>
    <row r="103" spans="1:6" s="15" customFormat="1" ht="18" customHeight="1" thickBot="1" x14ac:dyDescent="0.3">
      <c r="A103" s="362" t="s">
        <v>166</v>
      </c>
      <c r="B103" s="363"/>
      <c r="C103" s="363"/>
      <c r="D103" s="364"/>
      <c r="E103" s="32"/>
      <c r="F103" s="217" t="s">
        <v>337</v>
      </c>
    </row>
    <row r="104" spans="1:6" s="3" customFormat="1" ht="15" customHeight="1" thickBot="1" x14ac:dyDescent="0.3">
      <c r="A104" s="46" t="s">
        <v>33</v>
      </c>
      <c r="B104" s="18" t="s">
        <v>7</v>
      </c>
      <c r="C104" s="386" t="s">
        <v>165</v>
      </c>
      <c r="D104" s="387"/>
      <c r="E104" s="33"/>
      <c r="F104" s="246" t="s">
        <v>19</v>
      </c>
    </row>
    <row r="105" spans="1:6" s="12" customFormat="1" ht="40.5" customHeight="1" thickBot="1" x14ac:dyDescent="0.3">
      <c r="A105" s="47" t="s">
        <v>83</v>
      </c>
      <c r="B105" s="17" t="s">
        <v>146</v>
      </c>
      <c r="C105" s="388"/>
      <c r="D105" s="389"/>
      <c r="E105" s="29"/>
      <c r="F105" s="193"/>
    </row>
    <row r="106" spans="1:6" s="12" customFormat="1" ht="26.25" thickBot="1" x14ac:dyDescent="0.3">
      <c r="A106" s="44" t="s">
        <v>34</v>
      </c>
      <c r="B106" s="24" t="s">
        <v>107</v>
      </c>
      <c r="C106" s="369" t="s">
        <v>30</v>
      </c>
      <c r="D106" s="370"/>
      <c r="E106" s="28"/>
      <c r="F106" s="193" t="s">
        <v>352</v>
      </c>
    </row>
    <row r="107" spans="1:6" s="12" customFormat="1" ht="53.45" customHeight="1" thickBot="1" x14ac:dyDescent="0.3">
      <c r="A107" s="44" t="s">
        <v>35</v>
      </c>
      <c r="B107" s="24" t="s">
        <v>97</v>
      </c>
      <c r="C107" s="357"/>
      <c r="D107" s="358"/>
      <c r="E107" s="29"/>
      <c r="F107" s="193"/>
    </row>
    <row r="108" spans="1:6" s="12" customFormat="1" ht="27.95" customHeight="1" thickBot="1" x14ac:dyDescent="0.3">
      <c r="A108" s="44" t="s">
        <v>36</v>
      </c>
      <c r="B108" s="24" t="s">
        <v>84</v>
      </c>
      <c r="C108" s="369" t="s">
        <v>99</v>
      </c>
      <c r="D108" s="370"/>
      <c r="E108" s="28"/>
      <c r="F108" s="193" t="s">
        <v>413</v>
      </c>
    </row>
    <row r="109" spans="1:6" s="12" customFormat="1" ht="12.75" customHeight="1" x14ac:dyDescent="0.25">
      <c r="A109" s="343" t="s">
        <v>60</v>
      </c>
      <c r="B109" s="345" t="s">
        <v>133</v>
      </c>
      <c r="C109" s="347" t="s">
        <v>203</v>
      </c>
      <c r="D109" s="348"/>
      <c r="E109" s="28"/>
      <c r="F109" s="192" t="s">
        <v>401</v>
      </c>
    </row>
    <row r="110" spans="1:6" s="12" customFormat="1" x14ac:dyDescent="0.25">
      <c r="A110" s="351"/>
      <c r="B110" s="352"/>
      <c r="C110" s="353" t="s">
        <v>202</v>
      </c>
      <c r="D110" s="354"/>
      <c r="E110" s="28"/>
      <c r="F110" s="180">
        <v>5355</v>
      </c>
    </row>
    <row r="111" spans="1:6" s="12" customFormat="1" x14ac:dyDescent="0.25">
      <c r="A111" s="351"/>
      <c r="B111" s="352"/>
      <c r="C111" s="353" t="s">
        <v>114</v>
      </c>
      <c r="D111" s="354"/>
      <c r="E111" s="28"/>
      <c r="F111" s="180" t="s">
        <v>475</v>
      </c>
    </row>
    <row r="112" spans="1:6" s="12" customFormat="1" ht="30.75" customHeight="1" thickBot="1" x14ac:dyDescent="0.3">
      <c r="A112" s="344"/>
      <c r="B112" s="346"/>
      <c r="C112" s="341" t="s">
        <v>115</v>
      </c>
      <c r="D112" s="342"/>
      <c r="E112" s="28"/>
      <c r="F112" s="184" t="s">
        <v>476</v>
      </c>
    </row>
    <row r="113" spans="1:6" s="12" customFormat="1" ht="12.75" customHeight="1" x14ac:dyDescent="0.25">
      <c r="A113" s="343" t="s">
        <v>61</v>
      </c>
      <c r="B113" s="345" t="s">
        <v>206</v>
      </c>
      <c r="C113" s="347" t="s">
        <v>205</v>
      </c>
      <c r="D113" s="348"/>
      <c r="E113" s="28"/>
      <c r="F113" s="192" t="s">
        <v>477</v>
      </c>
    </row>
    <row r="114" spans="1:6" s="12" customFormat="1" x14ac:dyDescent="0.25">
      <c r="A114" s="351"/>
      <c r="B114" s="352"/>
      <c r="C114" s="353" t="s">
        <v>204</v>
      </c>
      <c r="D114" s="354"/>
      <c r="E114" s="28"/>
      <c r="F114" s="209">
        <v>5675</v>
      </c>
    </row>
    <row r="115" spans="1:6" s="12" customFormat="1" x14ac:dyDescent="0.25">
      <c r="A115" s="351"/>
      <c r="B115" s="352"/>
      <c r="C115" s="353" t="s">
        <v>203</v>
      </c>
      <c r="D115" s="354"/>
      <c r="E115" s="28"/>
      <c r="F115" s="209" t="s">
        <v>477</v>
      </c>
    </row>
    <row r="116" spans="1:6" s="12" customFormat="1" x14ac:dyDescent="0.25">
      <c r="A116" s="351"/>
      <c r="B116" s="352"/>
      <c r="C116" s="353" t="s">
        <v>202</v>
      </c>
      <c r="D116" s="354"/>
      <c r="E116" s="28"/>
      <c r="F116" s="180">
        <v>5355</v>
      </c>
    </row>
    <row r="117" spans="1:6" s="12" customFormat="1" x14ac:dyDescent="0.25">
      <c r="A117" s="351"/>
      <c r="B117" s="352"/>
      <c r="C117" s="353" t="s">
        <v>112</v>
      </c>
      <c r="D117" s="354"/>
      <c r="E117" s="28"/>
      <c r="F117" s="180" t="s">
        <v>478</v>
      </c>
    </row>
    <row r="118" spans="1:6" s="12" customFormat="1" x14ac:dyDescent="0.25">
      <c r="A118" s="351"/>
      <c r="B118" s="352"/>
      <c r="C118" s="353" t="s">
        <v>113</v>
      </c>
      <c r="D118" s="354"/>
      <c r="E118" s="28"/>
      <c r="F118" s="209" t="s">
        <v>418</v>
      </c>
    </row>
    <row r="119" spans="1:6" s="12" customFormat="1" x14ac:dyDescent="0.25">
      <c r="A119" s="351"/>
      <c r="B119" s="352"/>
      <c r="C119" s="353" t="s">
        <v>114</v>
      </c>
      <c r="D119" s="354"/>
      <c r="E119" s="28"/>
      <c r="F119" s="209" t="s">
        <v>478</v>
      </c>
    </row>
    <row r="120" spans="1:6" s="12" customFormat="1" ht="13.5" thickBot="1" x14ac:dyDescent="0.3">
      <c r="A120" s="344"/>
      <c r="B120" s="346"/>
      <c r="C120" s="341" t="s">
        <v>115</v>
      </c>
      <c r="D120" s="342"/>
      <c r="E120" s="28"/>
      <c r="F120" s="184" t="s">
        <v>418</v>
      </c>
    </row>
    <row r="121" spans="1:6" s="12" customFormat="1" ht="146.44999999999999" customHeight="1" thickBot="1" x14ac:dyDescent="0.3">
      <c r="A121" s="48" t="s">
        <v>86</v>
      </c>
      <c r="B121" s="16" t="s">
        <v>143</v>
      </c>
      <c r="C121" s="369" t="s">
        <v>104</v>
      </c>
      <c r="D121" s="370"/>
      <c r="E121" s="28"/>
      <c r="F121" s="192" t="s">
        <v>479</v>
      </c>
    </row>
    <row r="122" spans="1:6" ht="168.6" customHeight="1" thickBot="1" x14ac:dyDescent="0.25">
      <c r="A122" s="44" t="s">
        <v>85</v>
      </c>
      <c r="B122" s="13" t="s">
        <v>170</v>
      </c>
      <c r="C122" s="369" t="s">
        <v>104</v>
      </c>
      <c r="D122" s="370"/>
      <c r="E122" s="28"/>
      <c r="F122" s="193" t="s">
        <v>480</v>
      </c>
    </row>
    <row r="123" spans="1:6" x14ac:dyDescent="0.2">
      <c r="A123" s="343" t="s">
        <v>13</v>
      </c>
      <c r="B123" s="345" t="s">
        <v>98</v>
      </c>
      <c r="C123" s="347" t="s">
        <v>30</v>
      </c>
      <c r="D123" s="348"/>
      <c r="E123" s="28"/>
      <c r="F123" s="192" t="s">
        <v>361</v>
      </c>
    </row>
    <row r="124" spans="1:6" ht="29.45" customHeight="1" thickBot="1" x14ac:dyDescent="0.25">
      <c r="A124" s="344"/>
      <c r="B124" s="346"/>
      <c r="C124" s="341" t="s">
        <v>109</v>
      </c>
      <c r="D124" s="342"/>
      <c r="E124" s="28"/>
      <c r="F124" s="184" t="s">
        <v>362</v>
      </c>
    </row>
    <row r="125" spans="1:6" ht="65.45" customHeight="1" thickBot="1" x14ac:dyDescent="0.25">
      <c r="A125" s="44" t="s">
        <v>37</v>
      </c>
      <c r="B125" s="24" t="s">
        <v>135</v>
      </c>
      <c r="C125" s="357"/>
      <c r="D125" s="358"/>
      <c r="E125" s="29"/>
      <c r="F125" s="193" t="s">
        <v>378</v>
      </c>
    </row>
    <row r="126" spans="1:6" ht="41.1" customHeight="1" thickBot="1" x14ac:dyDescent="0.25">
      <c r="A126" s="44" t="s">
        <v>38</v>
      </c>
      <c r="B126" s="24" t="s">
        <v>87</v>
      </c>
      <c r="C126" s="357"/>
      <c r="D126" s="358"/>
      <c r="E126" s="29"/>
      <c r="F126" s="193"/>
    </row>
    <row r="127" spans="1:6" ht="17.100000000000001" customHeight="1" thickBot="1" x14ac:dyDescent="0.25">
      <c r="A127" s="44" t="s">
        <v>201</v>
      </c>
      <c r="B127" s="24" t="s">
        <v>200</v>
      </c>
      <c r="C127" s="369"/>
      <c r="D127" s="370"/>
      <c r="E127" s="28"/>
      <c r="F127" s="193"/>
    </row>
    <row r="128" spans="1:6" ht="29.45" customHeight="1" thickBot="1" x14ac:dyDescent="0.25">
      <c r="A128" s="44" t="s">
        <v>39</v>
      </c>
      <c r="B128" s="24" t="s">
        <v>106</v>
      </c>
      <c r="C128" s="369" t="s">
        <v>105</v>
      </c>
      <c r="D128" s="370"/>
      <c r="E128" s="28"/>
      <c r="F128" s="193" t="s">
        <v>324</v>
      </c>
    </row>
    <row r="129" spans="1:6" x14ac:dyDescent="0.2">
      <c r="A129" s="343" t="s">
        <v>88</v>
      </c>
      <c r="B129" s="345" t="s">
        <v>148</v>
      </c>
      <c r="C129" s="347" t="s">
        <v>100</v>
      </c>
      <c r="D129" s="348"/>
      <c r="E129" s="28"/>
      <c r="F129" s="192" t="s">
        <v>423</v>
      </c>
    </row>
    <row r="130" spans="1:6" ht="108" customHeight="1" thickBot="1" x14ac:dyDescent="0.25">
      <c r="A130" s="344"/>
      <c r="B130" s="346"/>
      <c r="C130" s="341" t="s">
        <v>110</v>
      </c>
      <c r="D130" s="342"/>
      <c r="E130" s="28"/>
      <c r="F130" s="255" t="s">
        <v>438</v>
      </c>
    </row>
    <row r="131" spans="1:6" ht="26.25" thickBot="1" x14ac:dyDescent="0.25">
      <c r="A131" s="44" t="s">
        <v>40</v>
      </c>
      <c r="B131" s="24" t="s">
        <v>137</v>
      </c>
      <c r="C131" s="369" t="s">
        <v>100</v>
      </c>
      <c r="D131" s="370"/>
      <c r="E131" s="28"/>
      <c r="F131" s="184" t="s">
        <v>363</v>
      </c>
    </row>
    <row r="132" spans="1:6" ht="56.1" customHeight="1" thickBot="1" x14ac:dyDescent="0.25">
      <c r="A132" s="44" t="s">
        <v>14</v>
      </c>
      <c r="B132" s="24" t="s">
        <v>138</v>
      </c>
      <c r="C132" s="369" t="s">
        <v>139</v>
      </c>
      <c r="D132" s="370"/>
      <c r="E132" s="28"/>
      <c r="F132" s="193">
        <v>2</v>
      </c>
    </row>
    <row r="133" spans="1:6" ht="66" customHeight="1" thickBot="1" x14ac:dyDescent="0.25">
      <c r="A133" s="44" t="s">
        <v>91</v>
      </c>
      <c r="B133" s="24" t="s">
        <v>144</v>
      </c>
      <c r="C133" s="369" t="s">
        <v>100</v>
      </c>
      <c r="D133" s="370"/>
      <c r="E133" s="28"/>
      <c r="F133" s="193" t="s">
        <v>364</v>
      </c>
    </row>
    <row r="134" spans="1:6" ht="70.5" customHeight="1" thickBot="1" x14ac:dyDescent="0.25">
      <c r="A134" s="44" t="s">
        <v>92</v>
      </c>
      <c r="B134" s="24" t="s">
        <v>145</v>
      </c>
      <c r="C134" s="357"/>
      <c r="D134" s="358"/>
      <c r="E134" s="29"/>
      <c r="F134" s="193"/>
    </row>
  </sheetData>
  <sheetProtection algorithmName="SHA-512" hashValue="0GbkJh6i4Rooa9mlFyick+Q4Abqr3IPHK+8GKa9C+HaDDudiPgNSX/VHq4HeK+DPVumaB/uOShWQP0Zasme/Ng==" saltValue="jeqsexqfpq4/o57W2mc9fQ==" spinCount="100000" sheet="1" objects="1" scenarios="1"/>
  <dataConsolidate/>
  <mergeCells count="153">
    <mergeCell ref="B22:D22"/>
    <mergeCell ref="A24:D24"/>
    <mergeCell ref="C25:D25"/>
    <mergeCell ref="C26:D26"/>
    <mergeCell ref="B13:D13"/>
    <mergeCell ref="B14:D14"/>
    <mergeCell ref="B15:D15"/>
    <mergeCell ref="B16:D16"/>
    <mergeCell ref="B17:D17"/>
    <mergeCell ref="A19:D19"/>
    <mergeCell ref="B9:D9"/>
    <mergeCell ref="B10:D10"/>
    <mergeCell ref="B11:D11"/>
    <mergeCell ref="B12:D12"/>
    <mergeCell ref="A3:D3"/>
    <mergeCell ref="A4:D4"/>
    <mergeCell ref="A6:D6"/>
    <mergeCell ref="B8:D8"/>
    <mergeCell ref="B21:D21"/>
    <mergeCell ref="C28:D28"/>
    <mergeCell ref="C29:D29"/>
    <mergeCell ref="A30:A34"/>
    <mergeCell ref="B30:B34"/>
    <mergeCell ref="C30:D30"/>
    <mergeCell ref="C31:D31"/>
    <mergeCell ref="C32:D32"/>
    <mergeCell ref="C33:D33"/>
    <mergeCell ref="C34:D34"/>
    <mergeCell ref="A27:A28"/>
    <mergeCell ref="B27:B28"/>
    <mergeCell ref="C27:D27"/>
    <mergeCell ref="A35:A36"/>
    <mergeCell ref="B35:B36"/>
    <mergeCell ref="C35:D35"/>
    <mergeCell ref="C36:D36"/>
    <mergeCell ref="A37:A38"/>
    <mergeCell ref="B37:B38"/>
    <mergeCell ref="C37:D37"/>
    <mergeCell ref="C38:D38"/>
    <mergeCell ref="C39:D39"/>
    <mergeCell ref="A40:A42"/>
    <mergeCell ref="B40:B42"/>
    <mergeCell ref="C40:D40"/>
    <mergeCell ref="C41:D41"/>
    <mergeCell ref="C42:D42"/>
    <mergeCell ref="C43:D43"/>
    <mergeCell ref="A44:A51"/>
    <mergeCell ref="B44:B51"/>
    <mergeCell ref="C44:D44"/>
    <mergeCell ref="C45:D45"/>
    <mergeCell ref="C46:D46"/>
    <mergeCell ref="C47:D47"/>
    <mergeCell ref="C48:D48"/>
    <mergeCell ref="C49:D49"/>
    <mergeCell ref="C50:D50"/>
    <mergeCell ref="C51:D51"/>
    <mergeCell ref="A59:A61"/>
    <mergeCell ref="B59:B61"/>
    <mergeCell ref="C59:D59"/>
    <mergeCell ref="C60:D60"/>
    <mergeCell ref="C61:D61"/>
    <mergeCell ref="C62:D62"/>
    <mergeCell ref="A52:A54"/>
    <mergeCell ref="B52:B54"/>
    <mergeCell ref="C52:D52"/>
    <mergeCell ref="C53:D53"/>
    <mergeCell ref="C54:D54"/>
    <mergeCell ref="C55:D55"/>
    <mergeCell ref="C56:D56"/>
    <mergeCell ref="A57:A58"/>
    <mergeCell ref="B57:B58"/>
    <mergeCell ref="C57:D57"/>
    <mergeCell ref="C58:D58"/>
    <mergeCell ref="C63:D63"/>
    <mergeCell ref="C64:D64"/>
    <mergeCell ref="C65:D65"/>
    <mergeCell ref="C66:D66"/>
    <mergeCell ref="C67:D67"/>
    <mergeCell ref="C76:D76"/>
    <mergeCell ref="C77:D77"/>
    <mergeCell ref="C78:D78"/>
    <mergeCell ref="A68:A69"/>
    <mergeCell ref="B68:B69"/>
    <mergeCell ref="C68:D68"/>
    <mergeCell ref="C69:D69"/>
    <mergeCell ref="C79:D79"/>
    <mergeCell ref="A81:D81"/>
    <mergeCell ref="C70:D70"/>
    <mergeCell ref="C71:D71"/>
    <mergeCell ref="C72:D72"/>
    <mergeCell ref="C73:D73"/>
    <mergeCell ref="C74:D74"/>
    <mergeCell ref="A82:D82"/>
    <mergeCell ref="A83:D83"/>
    <mergeCell ref="C75:D75"/>
    <mergeCell ref="A84:D84"/>
    <mergeCell ref="A85:D85"/>
    <mergeCell ref="A86:D86"/>
    <mergeCell ref="A87:D87"/>
    <mergeCell ref="A99:D99"/>
    <mergeCell ref="A88:D88"/>
    <mergeCell ref="A89:D89"/>
    <mergeCell ref="A90:D90"/>
    <mergeCell ref="A91:D91"/>
    <mergeCell ref="A92:D92"/>
    <mergeCell ref="A93:D93"/>
    <mergeCell ref="A101:D101"/>
    <mergeCell ref="A103:D103"/>
    <mergeCell ref="C104:D104"/>
    <mergeCell ref="C105:D105"/>
    <mergeCell ref="C106:D106"/>
    <mergeCell ref="A94:D94"/>
    <mergeCell ref="A95:D95"/>
    <mergeCell ref="A96:D96"/>
    <mergeCell ref="A97:D97"/>
    <mergeCell ref="A98:D98"/>
    <mergeCell ref="A100:D100"/>
    <mergeCell ref="C121:D121"/>
    <mergeCell ref="C122:D122"/>
    <mergeCell ref="A123:A124"/>
    <mergeCell ref="B123:B124"/>
    <mergeCell ref="C123:D123"/>
    <mergeCell ref="C124:D124"/>
    <mergeCell ref="C107:D107"/>
    <mergeCell ref="C108:D108"/>
    <mergeCell ref="A109:A112"/>
    <mergeCell ref="B109:B112"/>
    <mergeCell ref="C109:D109"/>
    <mergeCell ref="C110:D110"/>
    <mergeCell ref="C111:D111"/>
    <mergeCell ref="C112:D112"/>
    <mergeCell ref="A113:A120"/>
    <mergeCell ref="B113:B120"/>
    <mergeCell ref="C113:D113"/>
    <mergeCell ref="C114:D114"/>
    <mergeCell ref="C115:D115"/>
    <mergeCell ref="C116:D116"/>
    <mergeCell ref="C117:D117"/>
    <mergeCell ref="C118:D118"/>
    <mergeCell ref="C119:D119"/>
    <mergeCell ref="C120:D120"/>
    <mergeCell ref="C131:D131"/>
    <mergeCell ref="C132:D132"/>
    <mergeCell ref="C133:D133"/>
    <mergeCell ref="C134:D134"/>
    <mergeCell ref="C125:D125"/>
    <mergeCell ref="C126:D126"/>
    <mergeCell ref="C127:D127"/>
    <mergeCell ref="C128:D128"/>
    <mergeCell ref="A129:A130"/>
    <mergeCell ref="B129:B130"/>
    <mergeCell ref="C129:D129"/>
    <mergeCell ref="C130:D130"/>
  </mergeCells>
  <conditionalFormatting sqref="C55 C64">
    <cfRule type="expression" dxfId="39" priority="42">
      <formula>#REF!="NO"</formula>
    </cfRule>
  </conditionalFormatting>
  <conditionalFormatting sqref="C40:D42">
    <cfRule type="expression" dxfId="38" priority="12">
      <formula>$F$2="NO"</formula>
    </cfRule>
  </conditionalFormatting>
  <conditionalFormatting sqref="C26:E39">
    <cfRule type="expression" dxfId="37" priority="43">
      <formula>#REF!="NO"</formula>
    </cfRule>
  </conditionalFormatting>
  <conditionalFormatting sqref="C43:E79">
    <cfRule type="expression" dxfId="36" priority="11">
      <formula>#REF!="NO"</formula>
    </cfRule>
  </conditionalFormatting>
  <conditionalFormatting sqref="C105:F134">
    <cfRule type="expression" dxfId="35" priority="16">
      <formula>#REF!="NO"</formula>
    </cfRule>
  </conditionalFormatting>
  <conditionalFormatting sqref="E40:E42">
    <cfRule type="expression" dxfId="34" priority="15">
      <formula>#REF!="NO"</formula>
    </cfRule>
  </conditionalFormatting>
  <conditionalFormatting sqref="E83:F101">
    <cfRule type="expression" dxfId="33" priority="1">
      <formula>#REF!="NO"</formula>
    </cfRule>
  </conditionalFormatting>
  <conditionalFormatting sqref="F8:F17">
    <cfRule type="expression" dxfId="32" priority="39">
      <formula>#REF!="NO"</formula>
    </cfRule>
  </conditionalFormatting>
  <conditionalFormatting sqref="F21:F22">
    <cfRule type="expression" dxfId="31" priority="40">
      <formula>#REF!="NO"</formula>
    </cfRule>
  </conditionalFormatting>
  <conditionalFormatting sqref="F26:G79">
    <cfRule type="expression" dxfId="30" priority="9">
      <formula>#REF!="NO"</formula>
    </cfRule>
  </conditionalFormatting>
  <dataValidations count="3">
    <dataValidation type="decimal" operator="greaterThanOrEqual" allowBlank="1" showInputMessage="1" showErrorMessage="1" error="The Pickup Allowance cannot be a negative number." sqref="F16" xr:uid="{00000000-0002-0000-0A00-000002000000}">
      <formula1>0</formula1>
    </dataValidation>
    <dataValidation type="decimal" allowBlank="1" showInputMessage="1" showErrorMessage="1" error="Invalid Entry - Bidder must enter a value that is greater than $0" sqref="F21" xr:uid="{00000000-0002-0000-0A00-000001000000}">
      <formula1>0</formula1>
      <formula2>9E+21</formula2>
    </dataValidation>
    <dataValidation type="decimal" allowBlank="1" showInputMessage="1" showErrorMessage="1" error="The Additional Options NYS Discount entered must be greater than 0%, or less than or equal to 100%." sqref="F22" xr:uid="{00000000-0002-0000-0A00-000000000000}">
      <formula1>0.01</formula1>
      <formula2>100</formula2>
    </dataValidation>
  </dataValidations>
  <pageMargins left="0.25" right="0.25" top="0.5" bottom="0.25" header="0.3" footer="0.3"/>
  <pageSetup scale="93" fitToHeight="0" orientation="landscape" r:id="rId1"/>
  <rowBreaks count="3" manualBreakCount="3">
    <brk id="22" max="6" man="1"/>
    <brk id="51" max="6" man="1"/>
    <brk id="128" max="6"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4ABDA-F98E-4EAD-B218-EEDA56733A0D}">
  <sheetPr codeName="Sheet13">
    <tabColor theme="8" tint="0.59999389629810485"/>
    <pageSetUpPr autoPageBreaks="0" fitToPage="1"/>
  </sheetPr>
  <dimension ref="A1:G134"/>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0.7109375" style="250" customWidth="1"/>
    <col min="7" max="7" width="2.7109375" style="2" customWidth="1"/>
    <col min="8" max="16384" width="9.140625" style="2"/>
  </cols>
  <sheetData>
    <row r="1" spans="1:7" ht="18" customHeight="1" x14ac:dyDescent="0.2">
      <c r="A1" s="245" t="str">
        <f>'A (Item 2-G)'!$A$1</f>
        <v>GROUP 40524-23254, SCHOOL BUSES (Statewide)                                                             Attachment 1 - Specifications and Pricing (Revised October 15, 2026)</v>
      </c>
      <c r="F1" s="177"/>
    </row>
    <row r="2" spans="1:7" s="19" customFormat="1" ht="18" customHeight="1" thickBot="1" x14ac:dyDescent="0.3">
      <c r="A2" s="305" t="str">
        <f>'Attachment 1 - Summary'!B2</f>
        <v>PC69862 Matthews Buses, Inc.</v>
      </c>
      <c r="B2" s="20"/>
      <c r="C2" s="20"/>
      <c r="D2" s="20"/>
      <c r="E2" s="20"/>
      <c r="F2" s="273"/>
      <c r="G2" s="20"/>
    </row>
    <row r="3" spans="1:7" ht="24" thickBot="1" x14ac:dyDescent="0.25">
      <c r="A3" s="530" t="s">
        <v>318</v>
      </c>
      <c r="B3" s="531"/>
      <c r="C3" s="531"/>
      <c r="D3" s="532"/>
      <c r="E3" s="8"/>
      <c r="F3" s="274"/>
      <c r="G3" s="8"/>
    </row>
    <row r="4" spans="1:7" ht="51" customHeight="1" thickBot="1" x14ac:dyDescent="0.25">
      <c r="A4" s="329" t="s">
        <v>317</v>
      </c>
      <c r="B4" s="330"/>
      <c r="C4" s="330"/>
      <c r="D4" s="331"/>
      <c r="E4" s="8"/>
      <c r="F4" s="274"/>
      <c r="G4" s="8"/>
    </row>
    <row r="5" spans="1:7" s="4" customFormat="1" ht="11.25" customHeight="1" thickBot="1" x14ac:dyDescent="0.3">
      <c r="A5" s="272"/>
      <c r="B5" s="272"/>
      <c r="C5" s="272"/>
      <c r="D5" s="272"/>
      <c r="E5" s="272"/>
      <c r="F5" s="275"/>
    </row>
    <row r="6" spans="1:7" s="7" customFormat="1" ht="16.5" customHeight="1" thickBot="1" x14ac:dyDescent="0.25">
      <c r="A6" s="335" t="s">
        <v>151</v>
      </c>
      <c r="B6" s="336"/>
      <c r="C6" s="336"/>
      <c r="D6" s="337"/>
      <c r="E6" s="30"/>
      <c r="F6" s="217" t="s">
        <v>337</v>
      </c>
      <c r="G6" s="30"/>
    </row>
    <row r="7" spans="1:7" s="4" customFormat="1" ht="15" customHeight="1" thickBot="1" x14ac:dyDescent="0.3">
      <c r="A7" s="35" t="s">
        <v>6</v>
      </c>
      <c r="B7" s="21" t="s">
        <v>165</v>
      </c>
      <c r="C7" s="26"/>
      <c r="D7" s="34"/>
      <c r="E7" s="31"/>
      <c r="F7" s="246" t="s">
        <v>19</v>
      </c>
      <c r="G7" s="31"/>
    </row>
    <row r="8" spans="1:7" ht="65.25" thickTop="1" thickBot="1" x14ac:dyDescent="0.25">
      <c r="A8" s="36" t="s">
        <v>9</v>
      </c>
      <c r="B8" s="323" t="s">
        <v>152</v>
      </c>
      <c r="C8" s="324"/>
      <c r="D8" s="325"/>
      <c r="E8" s="12"/>
      <c r="F8" s="178" t="s">
        <v>483</v>
      </c>
      <c r="G8" s="12"/>
    </row>
    <row r="9" spans="1:7" s="7" customFormat="1" ht="44.25" customHeight="1" thickTop="1" thickBot="1" x14ac:dyDescent="0.25">
      <c r="A9" s="36" t="s">
        <v>136</v>
      </c>
      <c r="B9" s="323" t="s">
        <v>191</v>
      </c>
      <c r="C9" s="324"/>
      <c r="D9" s="325"/>
      <c r="E9" s="12"/>
      <c r="F9" s="178" t="s">
        <v>484</v>
      </c>
      <c r="G9" s="12"/>
    </row>
    <row r="10" spans="1:7" ht="12.75" customHeight="1" thickTop="1" x14ac:dyDescent="0.2">
      <c r="A10" s="37" t="s">
        <v>0</v>
      </c>
      <c r="B10" s="314" t="s">
        <v>154</v>
      </c>
      <c r="C10" s="315"/>
      <c r="D10" s="316"/>
      <c r="E10" s="12"/>
      <c r="F10" s="180" t="s">
        <v>337</v>
      </c>
      <c r="G10" s="12"/>
    </row>
    <row r="11" spans="1:7" x14ac:dyDescent="0.2">
      <c r="A11" s="37" t="s">
        <v>1</v>
      </c>
      <c r="B11" s="314" t="s">
        <v>153</v>
      </c>
      <c r="C11" s="315"/>
      <c r="D11" s="316"/>
      <c r="E11" s="12"/>
      <c r="F11" s="180" t="s">
        <v>464</v>
      </c>
      <c r="G11" s="12"/>
    </row>
    <row r="12" spans="1:7" ht="12.75" customHeight="1" thickBot="1" x14ac:dyDescent="0.25">
      <c r="A12" s="38" t="s">
        <v>2</v>
      </c>
      <c r="B12" s="317" t="s">
        <v>155</v>
      </c>
      <c r="C12" s="318"/>
      <c r="D12" s="319"/>
      <c r="E12" s="12"/>
      <c r="F12" s="181" t="s">
        <v>465</v>
      </c>
      <c r="G12" s="12"/>
    </row>
    <row r="13" spans="1:7" ht="13.5" thickTop="1" x14ac:dyDescent="0.2">
      <c r="A13" s="37" t="s">
        <v>3</v>
      </c>
      <c r="B13" s="314" t="s">
        <v>157</v>
      </c>
      <c r="C13" s="315"/>
      <c r="D13" s="316"/>
      <c r="E13" s="12"/>
      <c r="F13" s="180" t="s">
        <v>337</v>
      </c>
      <c r="G13" s="12"/>
    </row>
    <row r="14" spans="1:7" x14ac:dyDescent="0.2">
      <c r="A14" s="37" t="s">
        <v>4</v>
      </c>
      <c r="B14" s="314" t="s">
        <v>156</v>
      </c>
      <c r="C14" s="315"/>
      <c r="D14" s="316"/>
      <c r="E14" s="12"/>
      <c r="F14" s="180" t="s">
        <v>465</v>
      </c>
      <c r="G14" s="12"/>
    </row>
    <row r="15" spans="1:7" ht="15.75" customHeight="1" thickBot="1" x14ac:dyDescent="0.25">
      <c r="A15" s="39" t="s">
        <v>5</v>
      </c>
      <c r="B15" s="317" t="s">
        <v>158</v>
      </c>
      <c r="C15" s="318"/>
      <c r="D15" s="319"/>
      <c r="E15" s="12"/>
      <c r="F15" s="182" t="s">
        <v>485</v>
      </c>
      <c r="G15" s="12"/>
    </row>
    <row r="16" spans="1:7" ht="29.25" customHeight="1" thickTop="1" x14ac:dyDescent="0.2">
      <c r="A16" s="37" t="s">
        <v>101</v>
      </c>
      <c r="B16" s="320" t="s">
        <v>160</v>
      </c>
      <c r="C16" s="321"/>
      <c r="D16" s="322"/>
      <c r="E16" s="12"/>
      <c r="F16" s="183">
        <v>100</v>
      </c>
      <c r="G16" s="12"/>
    </row>
    <row r="17" spans="1:7" ht="30.75" customHeight="1" thickBot="1" x14ac:dyDescent="0.25">
      <c r="A17" s="39" t="s">
        <v>43</v>
      </c>
      <c r="B17" s="317" t="s">
        <v>159</v>
      </c>
      <c r="C17" s="318"/>
      <c r="D17" s="319"/>
      <c r="E17" s="12"/>
      <c r="F17" s="182" t="s">
        <v>369</v>
      </c>
      <c r="G17" s="12"/>
    </row>
    <row r="18" spans="1:7" s="9" customFormat="1" ht="14.25" thickTop="1" thickBot="1" x14ac:dyDescent="0.25">
      <c r="C18" s="10"/>
      <c r="D18" s="10"/>
      <c r="E18" s="10"/>
      <c r="F18" s="185"/>
      <c r="G18" s="10"/>
    </row>
    <row r="19" spans="1:7" s="11" customFormat="1" ht="16.5" customHeight="1" thickBot="1" x14ac:dyDescent="0.25">
      <c r="A19" s="335" t="s">
        <v>150</v>
      </c>
      <c r="B19" s="336"/>
      <c r="C19" s="336"/>
      <c r="D19" s="337"/>
      <c r="E19" s="30"/>
      <c r="F19" s="217" t="s">
        <v>337</v>
      </c>
      <c r="G19" s="30"/>
    </row>
    <row r="20" spans="1:7" s="4" customFormat="1" ht="15" customHeight="1" thickBot="1" x14ac:dyDescent="0.3">
      <c r="A20" s="49" t="s">
        <v>6</v>
      </c>
      <c r="B20" s="25" t="s">
        <v>165</v>
      </c>
      <c r="C20" s="27"/>
      <c r="D20" s="42"/>
      <c r="E20" s="31"/>
      <c r="F20" s="246" t="s">
        <v>19</v>
      </c>
      <c r="G20" s="31"/>
    </row>
    <row r="21" spans="1:7" ht="56.25" customHeight="1" x14ac:dyDescent="0.2">
      <c r="A21" s="40" t="s">
        <v>42</v>
      </c>
      <c r="B21" s="338" t="s">
        <v>161</v>
      </c>
      <c r="C21" s="339"/>
      <c r="D21" s="340"/>
      <c r="E21" s="12"/>
      <c r="F21" s="247">
        <f>150331.11*('PPI Adj'!D6)</f>
        <v>175436.40536999999</v>
      </c>
      <c r="G21" s="12"/>
    </row>
    <row r="22" spans="1:7" ht="33" customHeight="1" thickBot="1" x14ac:dyDescent="0.25">
      <c r="A22" s="41" t="s">
        <v>41</v>
      </c>
      <c r="B22" s="359" t="s">
        <v>163</v>
      </c>
      <c r="C22" s="360"/>
      <c r="D22" s="361"/>
      <c r="E22" s="1"/>
      <c r="F22" s="188">
        <v>20</v>
      </c>
      <c r="G22" s="1"/>
    </row>
    <row r="23" spans="1:7" ht="13.5" thickBot="1" x14ac:dyDescent="0.25">
      <c r="A23" s="52"/>
      <c r="B23" s="1"/>
      <c r="C23" s="1"/>
      <c r="D23" s="1"/>
      <c r="E23" s="1"/>
      <c r="F23" s="249"/>
      <c r="G23" s="1"/>
    </row>
    <row r="24" spans="1:7" s="7" customFormat="1" ht="15.75" customHeight="1" thickBot="1" x14ac:dyDescent="0.25">
      <c r="A24" s="362" t="s">
        <v>164</v>
      </c>
      <c r="B24" s="363"/>
      <c r="C24" s="363"/>
      <c r="D24" s="364"/>
      <c r="E24" s="32"/>
      <c r="F24" s="217" t="s">
        <v>337</v>
      </c>
      <c r="G24" s="32"/>
    </row>
    <row r="25" spans="1:7" s="3" customFormat="1" ht="15" customHeight="1" thickBot="1" x14ac:dyDescent="0.3">
      <c r="A25" s="49" t="s">
        <v>6</v>
      </c>
      <c r="B25" s="50" t="s">
        <v>7</v>
      </c>
      <c r="C25" s="365" t="s">
        <v>165</v>
      </c>
      <c r="D25" s="366"/>
      <c r="E25" s="33"/>
      <c r="F25" s="246" t="s">
        <v>19</v>
      </c>
      <c r="G25" s="33"/>
    </row>
    <row r="26" spans="1:7" s="12" customFormat="1" ht="64.5" customHeight="1" thickBot="1" x14ac:dyDescent="0.3">
      <c r="A26" s="43" t="s">
        <v>8</v>
      </c>
      <c r="B26" s="24" t="s">
        <v>311</v>
      </c>
      <c r="C26" s="341" t="s">
        <v>118</v>
      </c>
      <c r="D26" s="342"/>
      <c r="E26" s="28"/>
      <c r="F26" s="184">
        <v>33000</v>
      </c>
      <c r="G26" s="28"/>
    </row>
    <row r="27" spans="1:7" s="12" customFormat="1" x14ac:dyDescent="0.25">
      <c r="A27" s="343" t="s">
        <v>21</v>
      </c>
      <c r="B27" s="345" t="s">
        <v>316</v>
      </c>
      <c r="C27" s="347" t="s">
        <v>67</v>
      </c>
      <c r="D27" s="348"/>
      <c r="E27" s="28"/>
      <c r="F27" s="192">
        <v>13</v>
      </c>
      <c r="G27" s="28"/>
    </row>
    <row r="28" spans="1:7" s="12" customFormat="1" ht="13.5" thickBot="1" x14ac:dyDescent="0.3">
      <c r="A28" s="344"/>
      <c r="B28" s="346"/>
      <c r="C28" s="341" t="s">
        <v>68</v>
      </c>
      <c r="D28" s="342"/>
      <c r="E28" s="28"/>
      <c r="F28" s="184">
        <v>78</v>
      </c>
      <c r="G28" s="28"/>
    </row>
    <row r="29" spans="1:7" s="12" customFormat="1" ht="13.5" thickBot="1" x14ac:dyDescent="0.3">
      <c r="A29" s="44" t="s">
        <v>123</v>
      </c>
      <c r="B29" s="24" t="s">
        <v>108</v>
      </c>
      <c r="C29" s="357"/>
      <c r="D29" s="358"/>
      <c r="E29" s="29"/>
      <c r="F29" s="193"/>
      <c r="G29" s="29"/>
    </row>
    <row r="30" spans="1:7" s="12" customFormat="1" x14ac:dyDescent="0.25">
      <c r="A30" s="343" t="s">
        <v>59</v>
      </c>
      <c r="B30" s="345"/>
      <c r="C30" s="347" t="s">
        <v>58</v>
      </c>
      <c r="D30" s="348"/>
      <c r="E30" s="28"/>
      <c r="F30" s="192">
        <v>212</v>
      </c>
      <c r="G30" s="28"/>
    </row>
    <row r="31" spans="1:7" s="12" customFormat="1" x14ac:dyDescent="0.25">
      <c r="A31" s="351"/>
      <c r="B31" s="352"/>
      <c r="C31" s="353" t="s">
        <v>57</v>
      </c>
      <c r="D31" s="354"/>
      <c r="E31" s="28"/>
      <c r="F31" s="180">
        <v>452.8</v>
      </c>
      <c r="G31" s="28"/>
    </row>
    <row r="32" spans="1:7" s="12" customFormat="1" x14ac:dyDescent="0.25">
      <c r="A32" s="351"/>
      <c r="B32" s="352"/>
      <c r="C32" s="353" t="s">
        <v>69</v>
      </c>
      <c r="D32" s="354"/>
      <c r="E32" s="28"/>
      <c r="F32" s="180">
        <v>90</v>
      </c>
      <c r="G32" s="28"/>
    </row>
    <row r="33" spans="1:7" s="12" customFormat="1" x14ac:dyDescent="0.25">
      <c r="A33" s="351"/>
      <c r="B33" s="352"/>
      <c r="C33" s="355" t="s">
        <v>70</v>
      </c>
      <c r="D33" s="356"/>
      <c r="E33" s="28"/>
      <c r="F33" s="180">
        <v>78</v>
      </c>
      <c r="G33" s="28"/>
    </row>
    <row r="34" spans="1:7" s="12" customFormat="1" ht="13.5" thickBot="1" x14ac:dyDescent="0.3">
      <c r="A34" s="344"/>
      <c r="B34" s="346"/>
      <c r="C34" s="341" t="s">
        <v>111</v>
      </c>
      <c r="D34" s="342"/>
      <c r="E34" s="28"/>
      <c r="F34" s="184">
        <v>293</v>
      </c>
      <c r="G34" s="28"/>
    </row>
    <row r="35" spans="1:7" s="12" customFormat="1" x14ac:dyDescent="0.25">
      <c r="A35" s="343" t="s">
        <v>11</v>
      </c>
      <c r="B35" s="345"/>
      <c r="C35" s="347" t="s">
        <v>24</v>
      </c>
      <c r="D35" s="348"/>
      <c r="E35" s="28"/>
      <c r="F35" s="192">
        <v>13200</v>
      </c>
      <c r="G35" s="28"/>
    </row>
    <row r="36" spans="1:7" s="12" customFormat="1" ht="13.5" thickBot="1" x14ac:dyDescent="0.3">
      <c r="A36" s="344"/>
      <c r="B36" s="346"/>
      <c r="C36" s="341" t="s">
        <v>22</v>
      </c>
      <c r="D36" s="342"/>
      <c r="E36" s="28"/>
      <c r="F36" s="184">
        <v>14600</v>
      </c>
      <c r="G36" s="28"/>
    </row>
    <row r="37" spans="1:7" s="12" customFormat="1" x14ac:dyDescent="0.25">
      <c r="A37" s="343" t="s">
        <v>16</v>
      </c>
      <c r="B37" s="345"/>
      <c r="C37" s="347" t="s">
        <v>24</v>
      </c>
      <c r="D37" s="348"/>
      <c r="E37" s="28"/>
      <c r="F37" s="192">
        <v>23000</v>
      </c>
      <c r="G37" s="28"/>
    </row>
    <row r="38" spans="1:7" s="12" customFormat="1" ht="13.5" thickBot="1" x14ac:dyDescent="0.3">
      <c r="A38" s="344"/>
      <c r="B38" s="346"/>
      <c r="C38" s="349" t="s">
        <v>23</v>
      </c>
      <c r="D38" s="350"/>
      <c r="E38" s="28"/>
      <c r="F38" s="184">
        <v>23000</v>
      </c>
      <c r="G38" s="28"/>
    </row>
    <row r="39" spans="1:7" s="12" customFormat="1" ht="17.100000000000001" customHeight="1" thickBot="1" x14ac:dyDescent="0.3">
      <c r="A39" s="44" t="s">
        <v>52</v>
      </c>
      <c r="B39" s="24" t="s">
        <v>53</v>
      </c>
      <c r="C39" s="357"/>
      <c r="D39" s="358"/>
      <c r="E39" s="29"/>
      <c r="F39" s="193"/>
      <c r="G39" s="29"/>
    </row>
    <row r="40" spans="1:7" s="12" customFormat="1" x14ac:dyDescent="0.25">
      <c r="A40" s="343" t="s">
        <v>219</v>
      </c>
      <c r="B40" s="345" t="s">
        <v>222</v>
      </c>
      <c r="C40" s="347" t="s">
        <v>221</v>
      </c>
      <c r="D40" s="348"/>
      <c r="E40" s="28"/>
      <c r="F40" s="192" t="s">
        <v>467</v>
      </c>
      <c r="G40" s="28"/>
    </row>
    <row r="41" spans="1:7" s="12" customFormat="1" ht="14.45" customHeight="1" x14ac:dyDescent="0.25">
      <c r="A41" s="351"/>
      <c r="B41" s="352"/>
      <c r="C41" s="353" t="s">
        <v>220</v>
      </c>
      <c r="D41" s="354"/>
      <c r="E41" s="28"/>
      <c r="F41" s="180" t="s">
        <v>428</v>
      </c>
      <c r="G41" s="28"/>
    </row>
    <row r="42" spans="1:7" s="12" customFormat="1" ht="70.5" customHeight="1" thickBot="1" x14ac:dyDescent="0.3">
      <c r="A42" s="344"/>
      <c r="B42" s="352"/>
      <c r="C42" s="349"/>
      <c r="D42" s="350"/>
      <c r="E42" s="28"/>
      <c r="F42" s="179"/>
      <c r="G42" s="28"/>
    </row>
    <row r="43" spans="1:7" s="12" customFormat="1" ht="28.5" customHeight="1" thickBot="1" x14ac:dyDescent="0.3">
      <c r="A43" s="44" t="s">
        <v>219</v>
      </c>
      <c r="B43" s="24" t="s">
        <v>218</v>
      </c>
      <c r="C43" s="357"/>
      <c r="D43" s="358"/>
      <c r="E43" s="29"/>
      <c r="F43" s="193"/>
      <c r="G43" s="29"/>
    </row>
    <row r="44" spans="1:7" s="12" customFormat="1" ht="13.5" thickBot="1" x14ac:dyDescent="0.3">
      <c r="A44" s="367" t="s">
        <v>12</v>
      </c>
      <c r="B44" s="368" t="s">
        <v>142</v>
      </c>
      <c r="C44" s="347" t="s">
        <v>174</v>
      </c>
      <c r="D44" s="348"/>
      <c r="E44" s="28"/>
      <c r="F44" s="192" t="s">
        <v>416</v>
      </c>
      <c r="G44" s="28"/>
    </row>
    <row r="45" spans="1:7" s="12" customFormat="1" ht="13.5" thickBot="1" x14ac:dyDescent="0.3">
      <c r="A45" s="367"/>
      <c r="B45" s="368"/>
      <c r="C45" s="353" t="s">
        <v>175</v>
      </c>
      <c r="D45" s="354"/>
      <c r="E45" s="28"/>
      <c r="F45" s="180">
        <v>6610</v>
      </c>
      <c r="G45" s="28"/>
    </row>
    <row r="46" spans="1:7" s="12" customFormat="1" ht="13.5" thickBot="1" x14ac:dyDescent="0.3">
      <c r="A46" s="367"/>
      <c r="B46" s="368"/>
      <c r="C46" s="353" t="s">
        <v>176</v>
      </c>
      <c r="D46" s="354"/>
      <c r="E46" s="28"/>
      <c r="F46" s="209" t="s">
        <v>416</v>
      </c>
      <c r="G46" s="28"/>
    </row>
    <row r="47" spans="1:7" s="12" customFormat="1" ht="13.5" thickBot="1" x14ac:dyDescent="0.3">
      <c r="A47" s="367"/>
      <c r="B47" s="368"/>
      <c r="C47" s="353" t="s">
        <v>177</v>
      </c>
      <c r="D47" s="354"/>
      <c r="E47" s="28"/>
      <c r="F47" s="180">
        <v>6005</v>
      </c>
      <c r="G47" s="28"/>
    </row>
    <row r="48" spans="1:7" s="12" customFormat="1" ht="13.5" thickBot="1" x14ac:dyDescent="0.3">
      <c r="A48" s="367"/>
      <c r="B48" s="368"/>
      <c r="C48" s="353" t="s">
        <v>112</v>
      </c>
      <c r="D48" s="354"/>
      <c r="E48" s="28"/>
      <c r="F48" s="180" t="s">
        <v>486</v>
      </c>
      <c r="G48" s="28"/>
    </row>
    <row r="49" spans="1:7" s="12" customFormat="1" ht="13.5" thickBot="1" x14ac:dyDescent="0.3">
      <c r="A49" s="367"/>
      <c r="B49" s="368"/>
      <c r="C49" s="353" t="s">
        <v>113</v>
      </c>
      <c r="D49" s="354"/>
      <c r="E49" s="28"/>
      <c r="F49" s="180" t="s">
        <v>487</v>
      </c>
      <c r="G49" s="28"/>
    </row>
    <row r="50" spans="1:7" s="12" customFormat="1" ht="13.5" thickBot="1" x14ac:dyDescent="0.3">
      <c r="A50" s="367"/>
      <c r="B50" s="368"/>
      <c r="C50" s="355" t="s">
        <v>114</v>
      </c>
      <c r="D50" s="356"/>
      <c r="E50" s="28"/>
      <c r="F50" s="180" t="s">
        <v>486</v>
      </c>
      <c r="G50" s="28"/>
    </row>
    <row r="51" spans="1:7" s="12" customFormat="1" ht="13.5" thickBot="1" x14ac:dyDescent="0.3">
      <c r="A51" s="367"/>
      <c r="B51" s="368"/>
      <c r="C51" s="341" t="s">
        <v>115</v>
      </c>
      <c r="D51" s="342"/>
      <c r="E51" s="28"/>
      <c r="F51" s="184" t="s">
        <v>487</v>
      </c>
      <c r="G51" s="28"/>
    </row>
    <row r="52" spans="1:7" s="12" customFormat="1" x14ac:dyDescent="0.25">
      <c r="A52" s="343" t="s">
        <v>10</v>
      </c>
      <c r="B52" s="345" t="s">
        <v>217</v>
      </c>
      <c r="C52" s="347" t="s">
        <v>116</v>
      </c>
      <c r="D52" s="348"/>
      <c r="E52" s="28"/>
      <c r="F52" s="192">
        <v>5</v>
      </c>
      <c r="G52" s="28"/>
    </row>
    <row r="53" spans="1:7" s="12" customFormat="1" x14ac:dyDescent="0.25">
      <c r="A53" s="351"/>
      <c r="B53" s="352"/>
      <c r="C53" s="353" t="s">
        <v>117</v>
      </c>
      <c r="D53" s="354"/>
      <c r="E53" s="28"/>
      <c r="F53" s="180" t="s">
        <v>344</v>
      </c>
      <c r="G53" s="28"/>
    </row>
    <row r="54" spans="1:7" s="12" customFormat="1" ht="26.25" thickBot="1" x14ac:dyDescent="0.3">
      <c r="A54" s="351"/>
      <c r="B54" s="352"/>
      <c r="C54" s="349" t="s">
        <v>71</v>
      </c>
      <c r="D54" s="350"/>
      <c r="E54" s="28"/>
      <c r="F54" s="179" t="s">
        <v>470</v>
      </c>
      <c r="G54" s="28"/>
    </row>
    <row r="55" spans="1:7" s="12" customFormat="1" ht="78" customHeight="1" thickBot="1" x14ac:dyDescent="0.3">
      <c r="A55" s="45" t="s">
        <v>9</v>
      </c>
      <c r="B55" s="22" t="s">
        <v>254</v>
      </c>
      <c r="C55" s="355"/>
      <c r="D55" s="356"/>
      <c r="E55" s="28"/>
      <c r="F55" s="192"/>
      <c r="G55" s="28"/>
    </row>
    <row r="56" spans="1:7" s="12" customFormat="1" ht="27" customHeight="1" thickBot="1" x14ac:dyDescent="0.3">
      <c r="A56" s="45" t="s">
        <v>253</v>
      </c>
      <c r="B56" s="22" t="s">
        <v>252</v>
      </c>
      <c r="C56" s="357"/>
      <c r="D56" s="358"/>
      <c r="E56" s="29"/>
      <c r="F56" s="196"/>
      <c r="G56" s="29"/>
    </row>
    <row r="57" spans="1:7" s="12" customFormat="1" ht="25.5" x14ac:dyDescent="0.25">
      <c r="A57" s="343" t="s">
        <v>25</v>
      </c>
      <c r="B57" s="345" t="s">
        <v>93</v>
      </c>
      <c r="C57" s="347" t="s">
        <v>72</v>
      </c>
      <c r="D57" s="348"/>
      <c r="E57" s="28"/>
      <c r="F57" s="192" t="s">
        <v>471</v>
      </c>
      <c r="G57" s="28"/>
    </row>
    <row r="58" spans="1:7" s="12" customFormat="1" ht="58.5" customHeight="1" thickBot="1" x14ac:dyDescent="0.3">
      <c r="A58" s="344"/>
      <c r="B58" s="346"/>
      <c r="C58" s="341" t="s">
        <v>73</v>
      </c>
      <c r="D58" s="342"/>
      <c r="E58" s="28"/>
      <c r="F58" s="184">
        <v>185</v>
      </c>
      <c r="G58" s="28"/>
    </row>
    <row r="59" spans="1:7" s="12" customFormat="1" x14ac:dyDescent="0.25">
      <c r="A59" s="343" t="s">
        <v>26</v>
      </c>
      <c r="B59" s="345" t="s">
        <v>251</v>
      </c>
      <c r="C59" s="347" t="s">
        <v>74</v>
      </c>
      <c r="D59" s="348"/>
      <c r="E59" s="28"/>
      <c r="F59" s="192" t="s">
        <v>472</v>
      </c>
      <c r="G59" s="28"/>
    </row>
    <row r="60" spans="1:7" s="12" customFormat="1" x14ac:dyDescent="0.25">
      <c r="A60" s="351"/>
      <c r="B60" s="352"/>
      <c r="C60" s="353" t="s">
        <v>75</v>
      </c>
      <c r="D60" s="354"/>
      <c r="E60" s="28"/>
      <c r="F60" s="180">
        <v>3</v>
      </c>
      <c r="G60" s="28"/>
    </row>
    <row r="61" spans="1:7" s="12" customFormat="1" ht="32.25" customHeight="1" thickBot="1" x14ac:dyDescent="0.3">
      <c r="A61" s="344"/>
      <c r="B61" s="346"/>
      <c r="C61" s="341" t="s">
        <v>250</v>
      </c>
      <c r="D61" s="342"/>
      <c r="E61" s="28"/>
      <c r="F61" s="184" t="s">
        <v>473</v>
      </c>
      <c r="G61" s="28"/>
    </row>
    <row r="62" spans="1:7" s="12" customFormat="1" ht="15.6" customHeight="1" thickBot="1" x14ac:dyDescent="0.3">
      <c r="A62" s="44" t="s">
        <v>44</v>
      </c>
      <c r="B62" s="24" t="s">
        <v>45</v>
      </c>
      <c r="C62" s="357"/>
      <c r="D62" s="358"/>
      <c r="E62" s="29"/>
      <c r="F62" s="196"/>
      <c r="G62" s="29"/>
    </row>
    <row r="63" spans="1:7" s="12" customFormat="1" ht="28.5" customHeight="1" thickBot="1" x14ac:dyDescent="0.3">
      <c r="A63" s="44" t="s">
        <v>44</v>
      </c>
      <c r="B63" s="24" t="s">
        <v>63</v>
      </c>
      <c r="C63" s="357"/>
      <c r="D63" s="358"/>
      <c r="E63" s="29"/>
      <c r="F63" s="196"/>
      <c r="G63" s="29"/>
    </row>
    <row r="64" spans="1:7" s="12" customFormat="1" ht="30" customHeight="1" thickBot="1" x14ac:dyDescent="0.3">
      <c r="A64" s="44" t="s">
        <v>44</v>
      </c>
      <c r="B64" s="24" t="s">
        <v>64</v>
      </c>
      <c r="C64" s="357"/>
      <c r="D64" s="358"/>
      <c r="E64" s="29"/>
      <c r="F64" s="196"/>
      <c r="G64" s="29"/>
    </row>
    <row r="65" spans="1:7" s="12" customFormat="1" ht="30.95" customHeight="1" thickBot="1" x14ac:dyDescent="0.3">
      <c r="A65" s="44" t="s">
        <v>50</v>
      </c>
      <c r="B65" s="24" t="s">
        <v>216</v>
      </c>
      <c r="C65" s="357"/>
      <c r="D65" s="358"/>
      <c r="E65" s="29"/>
      <c r="F65" s="196"/>
      <c r="G65" s="29"/>
    </row>
    <row r="66" spans="1:7" s="12" customFormat="1" ht="13.5" thickBot="1" x14ac:dyDescent="0.3">
      <c r="A66" s="44" t="s">
        <v>27</v>
      </c>
      <c r="B66" s="24" t="s">
        <v>215</v>
      </c>
      <c r="C66" s="369" t="s">
        <v>77</v>
      </c>
      <c r="D66" s="370"/>
      <c r="E66" s="28"/>
      <c r="F66" s="193" t="s">
        <v>409</v>
      </c>
      <c r="G66" s="28"/>
    </row>
    <row r="67" spans="1:7" s="12" customFormat="1" ht="53.1" customHeight="1" thickBot="1" x14ac:dyDescent="0.3">
      <c r="A67" s="44" t="s">
        <v>214</v>
      </c>
      <c r="B67" s="24" t="s">
        <v>213</v>
      </c>
      <c r="C67" s="369"/>
      <c r="D67" s="370"/>
      <c r="E67" s="28"/>
      <c r="F67" s="193"/>
      <c r="G67" s="28"/>
    </row>
    <row r="68" spans="1:7" s="12" customFormat="1" ht="15" customHeight="1" x14ac:dyDescent="0.25">
      <c r="A68" s="343" t="s">
        <v>28</v>
      </c>
      <c r="B68" s="345" t="s">
        <v>264</v>
      </c>
      <c r="C68" s="472" t="s">
        <v>248</v>
      </c>
      <c r="D68" s="348"/>
      <c r="E68" s="28"/>
      <c r="F68" s="192">
        <v>60</v>
      </c>
      <c r="G68" s="28"/>
    </row>
    <row r="69" spans="1:7" s="12" customFormat="1" ht="29.25" customHeight="1" thickBot="1" x14ac:dyDescent="0.3">
      <c r="A69" s="344"/>
      <c r="B69" s="346"/>
      <c r="C69" s="413" t="s">
        <v>247</v>
      </c>
      <c r="D69" s="342"/>
      <c r="E69" s="28"/>
      <c r="F69" s="184" t="s">
        <v>431</v>
      </c>
      <c r="G69" s="28"/>
    </row>
    <row r="70" spans="1:7" s="12" customFormat="1" ht="40.5" customHeight="1" thickBot="1" x14ac:dyDescent="0.3">
      <c r="A70" s="44" t="s">
        <v>51</v>
      </c>
      <c r="B70" s="24" t="s">
        <v>212</v>
      </c>
      <c r="C70" s="357"/>
      <c r="D70" s="358"/>
      <c r="E70" s="29"/>
      <c r="F70" s="193"/>
      <c r="G70" s="29"/>
    </row>
    <row r="71" spans="1:7" s="12" customFormat="1" ht="40.5" customHeight="1" thickBot="1" x14ac:dyDescent="0.3">
      <c r="A71" s="44" t="s">
        <v>54</v>
      </c>
      <c r="B71" s="24" t="s">
        <v>80</v>
      </c>
      <c r="C71" s="357"/>
      <c r="D71" s="358"/>
      <c r="E71" s="29"/>
      <c r="F71" s="193"/>
      <c r="G71" s="29"/>
    </row>
    <row r="72" spans="1:7" s="12" customFormat="1" ht="78" customHeight="1" thickBot="1" x14ac:dyDescent="0.3">
      <c r="A72" s="44" t="s">
        <v>29</v>
      </c>
      <c r="B72" s="24" t="s">
        <v>211</v>
      </c>
      <c r="C72" s="357"/>
      <c r="D72" s="358"/>
      <c r="E72" s="29"/>
      <c r="F72" s="193"/>
      <c r="G72" s="29"/>
    </row>
    <row r="73" spans="1:7" s="12" customFormat="1" ht="53.45" customHeight="1" thickBot="1" x14ac:dyDescent="0.3">
      <c r="A73" s="44" t="s">
        <v>31</v>
      </c>
      <c r="B73" s="24" t="s">
        <v>210</v>
      </c>
      <c r="C73" s="369" t="s">
        <v>30</v>
      </c>
      <c r="D73" s="370"/>
      <c r="E73" s="28"/>
      <c r="F73" s="193" t="s">
        <v>411</v>
      </c>
      <c r="G73" s="28"/>
    </row>
    <row r="74" spans="1:7" s="12" customFormat="1" ht="27.95" customHeight="1" thickBot="1" x14ac:dyDescent="0.3">
      <c r="A74" s="44" t="s">
        <v>55</v>
      </c>
      <c r="B74" s="24" t="s">
        <v>95</v>
      </c>
      <c r="C74" s="357"/>
      <c r="D74" s="358"/>
      <c r="E74" s="29"/>
      <c r="F74" s="193"/>
      <c r="G74" s="29"/>
    </row>
    <row r="75" spans="1:7" s="12" customFormat="1" ht="29.45" customHeight="1" thickBot="1" x14ac:dyDescent="0.3">
      <c r="A75" s="44" t="s">
        <v>32</v>
      </c>
      <c r="B75" s="24" t="s">
        <v>96</v>
      </c>
      <c r="C75" s="369" t="s">
        <v>30</v>
      </c>
      <c r="D75" s="370"/>
      <c r="E75" s="28"/>
      <c r="F75" s="193" t="s">
        <v>474</v>
      </c>
      <c r="G75" s="28"/>
    </row>
    <row r="76" spans="1:7" s="12" customFormat="1" ht="39.6" customHeight="1" thickBot="1" x14ac:dyDescent="0.3">
      <c r="A76" s="44" t="s">
        <v>56</v>
      </c>
      <c r="B76" s="24" t="s">
        <v>167</v>
      </c>
      <c r="C76" s="357"/>
      <c r="D76" s="358"/>
      <c r="E76" s="29"/>
      <c r="F76" s="193"/>
      <c r="G76" s="29"/>
    </row>
    <row r="77" spans="1:7" s="12" customFormat="1" ht="27.95" customHeight="1" thickBot="1" x14ac:dyDescent="0.3">
      <c r="A77" s="44" t="s">
        <v>48</v>
      </c>
      <c r="B77" s="24" t="s">
        <v>47</v>
      </c>
      <c r="C77" s="357"/>
      <c r="D77" s="358"/>
      <c r="E77" s="29"/>
      <c r="F77" s="193"/>
      <c r="G77" s="29"/>
    </row>
    <row r="78" spans="1:7" s="12" customFormat="1" ht="27.6" customHeight="1" thickBot="1" x14ac:dyDescent="0.3">
      <c r="A78" s="44" t="s">
        <v>49</v>
      </c>
      <c r="B78" s="24" t="s">
        <v>103</v>
      </c>
      <c r="C78" s="357"/>
      <c r="D78" s="358"/>
      <c r="E78" s="29"/>
      <c r="F78" s="193"/>
      <c r="G78" s="29"/>
    </row>
    <row r="79" spans="1:7" s="12" customFormat="1" ht="26.25" thickBot="1" x14ac:dyDescent="0.3">
      <c r="A79" s="44" t="s">
        <v>46</v>
      </c>
      <c r="B79" s="24" t="s">
        <v>81</v>
      </c>
      <c r="C79" s="357"/>
      <c r="D79" s="358"/>
      <c r="E79" s="29"/>
      <c r="F79" s="193"/>
      <c r="G79" s="29"/>
    </row>
    <row r="80" spans="1:7" ht="13.5" thickBot="1" x14ac:dyDescent="0.25"/>
    <row r="81" spans="1:6" s="15" customFormat="1" ht="18" customHeight="1" thickBot="1" x14ac:dyDescent="0.3">
      <c r="A81" s="362" t="s">
        <v>168</v>
      </c>
      <c r="B81" s="363"/>
      <c r="C81" s="363"/>
      <c r="D81" s="364"/>
      <c r="E81" s="32"/>
      <c r="F81" s="217" t="s">
        <v>337</v>
      </c>
    </row>
    <row r="82" spans="1:6" s="3" customFormat="1" ht="15" customHeight="1" thickBot="1" x14ac:dyDescent="0.3">
      <c r="A82" s="371" t="s">
        <v>169</v>
      </c>
      <c r="B82" s="372"/>
      <c r="C82" s="372"/>
      <c r="D82" s="373"/>
      <c r="E82" s="33"/>
      <c r="F82" s="246" t="s">
        <v>19</v>
      </c>
    </row>
    <row r="83" spans="1:6" s="12" customFormat="1" ht="12.75" customHeight="1" x14ac:dyDescent="0.25">
      <c r="A83" s="374" t="s">
        <v>83</v>
      </c>
      <c r="B83" s="375"/>
      <c r="C83" s="375"/>
      <c r="D83" s="376"/>
      <c r="E83" s="29"/>
      <c r="F83" s="251">
        <f>-1010*('PPI Adj'!D6)</f>
        <v>-1178.67</v>
      </c>
    </row>
    <row r="84" spans="1:6" s="12" customFormat="1" ht="12.75" customHeight="1" x14ac:dyDescent="0.25">
      <c r="A84" s="377" t="s">
        <v>34</v>
      </c>
      <c r="B84" s="378"/>
      <c r="C84" s="378"/>
      <c r="D84" s="379"/>
      <c r="E84" s="28"/>
      <c r="F84" s="252">
        <f>678*('PPI Adj'!D6)</f>
        <v>791.226</v>
      </c>
    </row>
    <row r="85" spans="1:6" s="12" customFormat="1" x14ac:dyDescent="0.25">
      <c r="A85" s="377" t="s">
        <v>35</v>
      </c>
      <c r="B85" s="378"/>
      <c r="C85" s="378"/>
      <c r="D85" s="379"/>
      <c r="E85" s="29"/>
      <c r="F85" s="252">
        <f>44*('PPI Adj'!D6)</f>
        <v>51.347999999999999</v>
      </c>
    </row>
    <row r="86" spans="1:6" s="12" customFormat="1" x14ac:dyDescent="0.25">
      <c r="A86" s="377" t="s">
        <v>36</v>
      </c>
      <c r="B86" s="378"/>
      <c r="C86" s="378"/>
      <c r="D86" s="379"/>
      <c r="E86" s="28"/>
      <c r="F86" s="252">
        <f>738*('PPI Adj'!D6)</f>
        <v>861.24599999999998</v>
      </c>
    </row>
    <row r="87" spans="1:6" s="12" customFormat="1" x14ac:dyDescent="0.25">
      <c r="A87" s="377" t="s">
        <v>60</v>
      </c>
      <c r="B87" s="378"/>
      <c r="C87" s="378"/>
      <c r="D87" s="379"/>
      <c r="E87" s="28"/>
      <c r="F87" s="252">
        <f>95*('PPI Adj'!D6)</f>
        <v>110.86500000000001</v>
      </c>
    </row>
    <row r="88" spans="1:6" s="12" customFormat="1" x14ac:dyDescent="0.25">
      <c r="A88" s="377" t="s">
        <v>61</v>
      </c>
      <c r="B88" s="378"/>
      <c r="C88" s="378"/>
      <c r="D88" s="379"/>
      <c r="E88" s="28"/>
      <c r="F88" s="252">
        <f>386*('PPI Adj'!D6)</f>
        <v>450.46199999999999</v>
      </c>
    </row>
    <row r="89" spans="1:6" s="12" customFormat="1" ht="12.75" customHeight="1" x14ac:dyDescent="0.25">
      <c r="A89" s="377" t="s">
        <v>86</v>
      </c>
      <c r="B89" s="378"/>
      <c r="C89" s="378"/>
      <c r="D89" s="379"/>
      <c r="E89" s="28"/>
      <c r="F89" s="252">
        <f>856*('PPI Adj'!D6)</f>
        <v>998.952</v>
      </c>
    </row>
    <row r="90" spans="1:6" ht="12.75" customHeight="1" x14ac:dyDescent="0.2">
      <c r="A90" s="377" t="s">
        <v>85</v>
      </c>
      <c r="B90" s="378"/>
      <c r="C90" s="378"/>
      <c r="D90" s="379"/>
      <c r="E90" s="28"/>
      <c r="F90" s="252">
        <f>7550.4*('PPI Adj'!D6)</f>
        <v>8811.3168000000005</v>
      </c>
    </row>
    <row r="91" spans="1:6" x14ac:dyDescent="0.2">
      <c r="A91" s="377" t="s">
        <v>13</v>
      </c>
      <c r="B91" s="378"/>
      <c r="C91" s="378"/>
      <c r="D91" s="379"/>
      <c r="E91" s="28"/>
      <c r="F91" s="252">
        <f>10801*('PPI Adj'!D6)</f>
        <v>12604.767</v>
      </c>
    </row>
    <row r="92" spans="1:6" ht="12.75" customHeight="1" x14ac:dyDescent="0.2">
      <c r="A92" s="377" t="s">
        <v>37</v>
      </c>
      <c r="B92" s="378"/>
      <c r="C92" s="378"/>
      <c r="D92" s="379"/>
      <c r="E92" s="29"/>
      <c r="F92" s="252">
        <f>1000*('PPI Adj'!D6)</f>
        <v>1167</v>
      </c>
    </row>
    <row r="93" spans="1:6" x14ac:dyDescent="0.2">
      <c r="A93" s="377" t="s">
        <v>38</v>
      </c>
      <c r="B93" s="378"/>
      <c r="C93" s="378"/>
      <c r="D93" s="379"/>
      <c r="E93" s="29"/>
      <c r="F93" s="252">
        <f>737*('PPI Adj'!D6)</f>
        <v>860.07900000000006</v>
      </c>
    </row>
    <row r="94" spans="1:6" x14ac:dyDescent="0.2">
      <c r="A94" s="377" t="s">
        <v>201</v>
      </c>
      <c r="B94" s="378"/>
      <c r="C94" s="378"/>
      <c r="D94" s="379"/>
      <c r="E94" s="29"/>
      <c r="F94" s="252" t="s">
        <v>183</v>
      </c>
    </row>
    <row r="95" spans="1:6" x14ac:dyDescent="0.2">
      <c r="A95" s="377" t="s">
        <v>39</v>
      </c>
      <c r="B95" s="378"/>
      <c r="C95" s="378"/>
      <c r="D95" s="379"/>
      <c r="E95" s="28"/>
      <c r="F95" s="252">
        <f>678*('PPI Adj'!D6)</f>
        <v>791.226</v>
      </c>
    </row>
    <row r="96" spans="1:6" ht="12.75" customHeight="1" x14ac:dyDescent="0.2">
      <c r="A96" s="377" t="s">
        <v>88</v>
      </c>
      <c r="B96" s="378"/>
      <c r="C96" s="378"/>
      <c r="D96" s="379"/>
      <c r="E96" s="28"/>
      <c r="F96" s="252">
        <f>4245*('PPI Adj'!D6)</f>
        <v>4953.915</v>
      </c>
    </row>
    <row r="97" spans="1:6" x14ac:dyDescent="0.2">
      <c r="A97" s="377" t="s">
        <v>40</v>
      </c>
      <c r="B97" s="378"/>
      <c r="C97" s="378"/>
      <c r="D97" s="379"/>
      <c r="E97" s="28"/>
      <c r="F97" s="252">
        <f>225*('PPI Adj'!D6)</f>
        <v>262.57499999999999</v>
      </c>
    </row>
    <row r="98" spans="1:6" x14ac:dyDescent="0.2">
      <c r="A98" s="377" t="s">
        <v>14</v>
      </c>
      <c r="B98" s="378"/>
      <c r="C98" s="378"/>
      <c r="D98" s="379"/>
      <c r="E98" s="28"/>
      <c r="F98" s="252">
        <f>8780.67*('PPI Adj'!D6)</f>
        <v>10247.04189</v>
      </c>
    </row>
    <row r="99" spans="1:6" ht="12.75" customHeight="1" x14ac:dyDescent="0.2">
      <c r="A99" s="377" t="s">
        <v>91</v>
      </c>
      <c r="B99" s="378"/>
      <c r="C99" s="378"/>
      <c r="D99" s="379"/>
      <c r="E99" s="28"/>
      <c r="F99" s="252">
        <f>1971*('PPI Adj'!D6)</f>
        <v>2300.1570000000002</v>
      </c>
    </row>
    <row r="100" spans="1:6" x14ac:dyDescent="0.2">
      <c r="A100" s="383" t="s">
        <v>272</v>
      </c>
      <c r="B100" s="384"/>
      <c r="C100" s="384"/>
      <c r="D100" s="385"/>
      <c r="E100" s="28"/>
      <c r="F100" s="253">
        <f>-1036*('PPI Adj'!D6)</f>
        <v>-1209.0119999999999</v>
      </c>
    </row>
    <row r="101" spans="1:6" ht="13.5" customHeight="1" thickBot="1" x14ac:dyDescent="0.25">
      <c r="A101" s="380" t="s">
        <v>92</v>
      </c>
      <c r="B101" s="381"/>
      <c r="C101" s="381"/>
      <c r="D101" s="382"/>
      <c r="E101" s="29"/>
      <c r="F101" s="254">
        <f>-2023*('PPI Adj'!D6)</f>
        <v>-2360.8409999999999</v>
      </c>
    </row>
    <row r="102" spans="1:6" ht="13.5" thickBot="1" x14ac:dyDescent="0.25"/>
    <row r="103" spans="1:6" s="15" customFormat="1" ht="18" customHeight="1" thickBot="1" x14ac:dyDescent="0.3">
      <c r="A103" s="362" t="s">
        <v>166</v>
      </c>
      <c r="B103" s="363"/>
      <c r="C103" s="363"/>
      <c r="D103" s="364"/>
      <c r="E103" s="32"/>
      <c r="F103" s="217" t="s">
        <v>337</v>
      </c>
    </row>
    <row r="104" spans="1:6" s="3" customFormat="1" ht="15" customHeight="1" thickBot="1" x14ac:dyDescent="0.3">
      <c r="A104" s="46" t="s">
        <v>33</v>
      </c>
      <c r="B104" s="18" t="s">
        <v>7</v>
      </c>
      <c r="C104" s="386" t="s">
        <v>165</v>
      </c>
      <c r="D104" s="387"/>
      <c r="E104" s="33"/>
      <c r="F104" s="246" t="s">
        <v>19</v>
      </c>
    </row>
    <row r="105" spans="1:6" s="12" customFormat="1" ht="40.5" customHeight="1" thickBot="1" x14ac:dyDescent="0.3">
      <c r="A105" s="47" t="s">
        <v>83</v>
      </c>
      <c r="B105" s="17" t="s">
        <v>146</v>
      </c>
      <c r="C105" s="388"/>
      <c r="D105" s="389"/>
      <c r="E105" s="29"/>
      <c r="F105" s="193"/>
    </row>
    <row r="106" spans="1:6" s="12" customFormat="1" ht="26.25" thickBot="1" x14ac:dyDescent="0.3">
      <c r="A106" s="44" t="s">
        <v>34</v>
      </c>
      <c r="B106" s="24" t="s">
        <v>107</v>
      </c>
      <c r="C106" s="369" t="s">
        <v>30</v>
      </c>
      <c r="D106" s="370"/>
      <c r="E106" s="28"/>
      <c r="F106" s="193" t="s">
        <v>352</v>
      </c>
    </row>
    <row r="107" spans="1:6" s="12" customFormat="1" ht="53.45" customHeight="1" thickBot="1" x14ac:dyDescent="0.3">
      <c r="A107" s="44" t="s">
        <v>35</v>
      </c>
      <c r="B107" s="24" t="s">
        <v>97</v>
      </c>
      <c r="C107" s="357"/>
      <c r="D107" s="358"/>
      <c r="E107" s="29"/>
      <c r="F107" s="193"/>
    </row>
    <row r="108" spans="1:6" s="12" customFormat="1" ht="28.5" customHeight="1" thickBot="1" x14ac:dyDescent="0.3">
      <c r="A108" s="44" t="s">
        <v>36</v>
      </c>
      <c r="B108" s="24" t="s">
        <v>84</v>
      </c>
      <c r="C108" s="369" t="s">
        <v>99</v>
      </c>
      <c r="D108" s="370"/>
      <c r="E108" s="28"/>
      <c r="F108" s="193" t="s">
        <v>413</v>
      </c>
    </row>
    <row r="109" spans="1:6" s="12" customFormat="1" ht="12.75" customHeight="1" x14ac:dyDescent="0.25">
      <c r="A109" s="343" t="s">
        <v>60</v>
      </c>
      <c r="B109" s="345" t="s">
        <v>133</v>
      </c>
      <c r="C109" s="347" t="s">
        <v>203</v>
      </c>
      <c r="D109" s="348"/>
      <c r="E109" s="28"/>
      <c r="F109" s="192" t="s">
        <v>416</v>
      </c>
    </row>
    <row r="110" spans="1:6" s="12" customFormat="1" x14ac:dyDescent="0.25">
      <c r="A110" s="351"/>
      <c r="B110" s="352"/>
      <c r="C110" s="353" t="s">
        <v>202</v>
      </c>
      <c r="D110" s="354"/>
      <c r="E110" s="28"/>
      <c r="F110" s="180">
        <v>6005</v>
      </c>
    </row>
    <row r="111" spans="1:6" s="12" customFormat="1" x14ac:dyDescent="0.25">
      <c r="A111" s="351"/>
      <c r="B111" s="352"/>
      <c r="C111" s="353" t="s">
        <v>114</v>
      </c>
      <c r="D111" s="354"/>
      <c r="E111" s="28"/>
      <c r="F111" s="180" t="s">
        <v>488</v>
      </c>
    </row>
    <row r="112" spans="1:6" s="12" customFormat="1" ht="30.75" customHeight="1" thickBot="1" x14ac:dyDescent="0.3">
      <c r="A112" s="344"/>
      <c r="B112" s="346"/>
      <c r="C112" s="341" t="s">
        <v>115</v>
      </c>
      <c r="D112" s="342"/>
      <c r="E112" s="28"/>
      <c r="F112" s="184" t="s">
        <v>476</v>
      </c>
    </row>
    <row r="113" spans="1:6" s="12" customFormat="1" ht="12.75" customHeight="1" x14ac:dyDescent="0.25">
      <c r="A113" s="343" t="s">
        <v>61</v>
      </c>
      <c r="B113" s="345" t="s">
        <v>206</v>
      </c>
      <c r="C113" s="347" t="s">
        <v>205</v>
      </c>
      <c r="D113" s="348"/>
      <c r="E113" s="28"/>
      <c r="F113" s="192" t="s">
        <v>477</v>
      </c>
    </row>
    <row r="114" spans="1:6" s="12" customFormat="1" x14ac:dyDescent="0.25">
      <c r="A114" s="351"/>
      <c r="B114" s="352"/>
      <c r="C114" s="353" t="s">
        <v>204</v>
      </c>
      <c r="D114" s="354"/>
      <c r="E114" s="28"/>
      <c r="F114" s="209">
        <v>6610</v>
      </c>
    </row>
    <row r="115" spans="1:6" s="12" customFormat="1" x14ac:dyDescent="0.25">
      <c r="A115" s="351"/>
      <c r="B115" s="352"/>
      <c r="C115" s="353" t="s">
        <v>203</v>
      </c>
      <c r="D115" s="354"/>
      <c r="E115" s="28"/>
      <c r="F115" s="209" t="s">
        <v>477</v>
      </c>
    </row>
    <row r="116" spans="1:6" s="12" customFormat="1" x14ac:dyDescent="0.25">
      <c r="A116" s="351"/>
      <c r="B116" s="352"/>
      <c r="C116" s="353" t="s">
        <v>202</v>
      </c>
      <c r="D116" s="354"/>
      <c r="E116" s="28"/>
      <c r="F116" s="180">
        <v>6005</v>
      </c>
    </row>
    <row r="117" spans="1:6" s="12" customFormat="1" x14ac:dyDescent="0.25">
      <c r="A117" s="351"/>
      <c r="B117" s="352"/>
      <c r="C117" s="353" t="s">
        <v>112</v>
      </c>
      <c r="D117" s="354"/>
      <c r="E117" s="28"/>
      <c r="F117" s="180" t="s">
        <v>478</v>
      </c>
    </row>
    <row r="118" spans="1:6" s="12" customFormat="1" x14ac:dyDescent="0.25">
      <c r="A118" s="351"/>
      <c r="B118" s="352"/>
      <c r="C118" s="353" t="s">
        <v>113</v>
      </c>
      <c r="D118" s="354"/>
      <c r="E118" s="28"/>
      <c r="F118" s="209" t="s">
        <v>418</v>
      </c>
    </row>
    <row r="119" spans="1:6" s="12" customFormat="1" x14ac:dyDescent="0.25">
      <c r="A119" s="351"/>
      <c r="B119" s="352"/>
      <c r="C119" s="353" t="s">
        <v>114</v>
      </c>
      <c r="D119" s="354"/>
      <c r="E119" s="28"/>
      <c r="F119" s="209" t="s">
        <v>478</v>
      </c>
    </row>
    <row r="120" spans="1:6" s="12" customFormat="1" ht="13.5" thickBot="1" x14ac:dyDescent="0.3">
      <c r="A120" s="344"/>
      <c r="B120" s="346"/>
      <c r="C120" s="341" t="s">
        <v>115</v>
      </c>
      <c r="D120" s="342"/>
      <c r="E120" s="28"/>
      <c r="F120" s="184" t="s">
        <v>418</v>
      </c>
    </row>
    <row r="121" spans="1:6" s="12" customFormat="1" ht="144.6" customHeight="1" thickBot="1" x14ac:dyDescent="0.3">
      <c r="A121" s="48" t="s">
        <v>86</v>
      </c>
      <c r="B121" s="16" t="s">
        <v>143</v>
      </c>
      <c r="C121" s="369" t="s">
        <v>104</v>
      </c>
      <c r="D121" s="370"/>
      <c r="E121" s="28"/>
      <c r="F121" s="192" t="s">
        <v>489</v>
      </c>
    </row>
    <row r="122" spans="1:6" ht="168.95" customHeight="1" thickBot="1" x14ac:dyDescent="0.25">
      <c r="A122" s="44" t="s">
        <v>85</v>
      </c>
      <c r="B122" s="13" t="s">
        <v>170</v>
      </c>
      <c r="C122" s="369" t="s">
        <v>104</v>
      </c>
      <c r="D122" s="370"/>
      <c r="E122" s="28"/>
      <c r="F122" s="193" t="s">
        <v>480</v>
      </c>
    </row>
    <row r="123" spans="1:6" x14ac:dyDescent="0.2">
      <c r="A123" s="343" t="s">
        <v>13</v>
      </c>
      <c r="B123" s="345" t="s">
        <v>98</v>
      </c>
      <c r="C123" s="347" t="s">
        <v>30</v>
      </c>
      <c r="D123" s="348"/>
      <c r="E123" s="28"/>
      <c r="F123" s="192" t="s">
        <v>361</v>
      </c>
    </row>
    <row r="124" spans="1:6" ht="30.6" customHeight="1" thickBot="1" x14ac:dyDescent="0.25">
      <c r="A124" s="344"/>
      <c r="B124" s="346"/>
      <c r="C124" s="341" t="s">
        <v>109</v>
      </c>
      <c r="D124" s="342"/>
      <c r="E124" s="28"/>
      <c r="F124" s="184" t="s">
        <v>362</v>
      </c>
    </row>
    <row r="125" spans="1:6" ht="66" customHeight="1" thickBot="1" x14ac:dyDescent="0.25">
      <c r="A125" s="44" t="s">
        <v>37</v>
      </c>
      <c r="B125" s="24" t="s">
        <v>135</v>
      </c>
      <c r="C125" s="357"/>
      <c r="D125" s="358"/>
      <c r="E125" s="29"/>
      <c r="F125" s="193" t="s">
        <v>378</v>
      </c>
    </row>
    <row r="126" spans="1:6" ht="42" customHeight="1" thickBot="1" x14ac:dyDescent="0.25">
      <c r="A126" s="44" t="s">
        <v>38</v>
      </c>
      <c r="B126" s="24" t="s">
        <v>87</v>
      </c>
      <c r="C126" s="357"/>
      <c r="D126" s="358"/>
      <c r="E126" s="29"/>
      <c r="F126" s="193"/>
    </row>
    <row r="127" spans="1:6" ht="18.600000000000001" customHeight="1" thickBot="1" x14ac:dyDescent="0.25">
      <c r="A127" s="44" t="s">
        <v>201</v>
      </c>
      <c r="B127" s="24" t="s">
        <v>200</v>
      </c>
      <c r="C127" s="369"/>
      <c r="D127" s="370"/>
      <c r="E127" s="28"/>
      <c r="F127" s="193"/>
    </row>
    <row r="128" spans="1:6" ht="28.5" customHeight="1" thickBot="1" x14ac:dyDescent="0.25">
      <c r="A128" s="44" t="s">
        <v>39</v>
      </c>
      <c r="B128" s="24" t="s">
        <v>106</v>
      </c>
      <c r="C128" s="369" t="s">
        <v>105</v>
      </c>
      <c r="D128" s="370"/>
      <c r="E128" s="28"/>
      <c r="F128" s="193" t="s">
        <v>324</v>
      </c>
    </row>
    <row r="129" spans="1:6" x14ac:dyDescent="0.2">
      <c r="A129" s="343" t="s">
        <v>88</v>
      </c>
      <c r="B129" s="345" t="s">
        <v>148</v>
      </c>
      <c r="C129" s="347" t="s">
        <v>100</v>
      </c>
      <c r="D129" s="348"/>
      <c r="E129" s="28"/>
      <c r="F129" s="192" t="s">
        <v>423</v>
      </c>
    </row>
    <row r="130" spans="1:6" ht="108" customHeight="1" thickBot="1" x14ac:dyDescent="0.25">
      <c r="A130" s="344"/>
      <c r="B130" s="346"/>
      <c r="C130" s="341" t="s">
        <v>110</v>
      </c>
      <c r="D130" s="342"/>
      <c r="E130" s="28"/>
      <c r="F130" s="255" t="s">
        <v>438</v>
      </c>
    </row>
    <row r="131" spans="1:6" ht="26.25" thickBot="1" x14ac:dyDescent="0.25">
      <c r="A131" s="44" t="s">
        <v>40</v>
      </c>
      <c r="B131" s="24" t="s">
        <v>137</v>
      </c>
      <c r="C131" s="369" t="s">
        <v>100</v>
      </c>
      <c r="D131" s="370"/>
      <c r="E131" s="28"/>
      <c r="F131" s="184" t="s">
        <v>363</v>
      </c>
    </row>
    <row r="132" spans="1:6" ht="53.45" customHeight="1" thickBot="1" x14ac:dyDescent="0.25">
      <c r="A132" s="44" t="s">
        <v>14</v>
      </c>
      <c r="B132" s="24" t="s">
        <v>138</v>
      </c>
      <c r="C132" s="369" t="s">
        <v>139</v>
      </c>
      <c r="D132" s="370"/>
      <c r="E132" s="28"/>
      <c r="F132" s="193">
        <v>2</v>
      </c>
    </row>
    <row r="133" spans="1:6" ht="68.45" customHeight="1" thickBot="1" x14ac:dyDescent="0.25">
      <c r="A133" s="44" t="s">
        <v>91</v>
      </c>
      <c r="B133" s="24" t="s">
        <v>144</v>
      </c>
      <c r="C133" s="369" t="s">
        <v>100</v>
      </c>
      <c r="D133" s="370"/>
      <c r="E133" s="28"/>
      <c r="F133" s="193" t="s">
        <v>364</v>
      </c>
    </row>
    <row r="134" spans="1:6" ht="70.5" customHeight="1" thickBot="1" x14ac:dyDescent="0.25">
      <c r="A134" s="44" t="s">
        <v>92</v>
      </c>
      <c r="B134" s="24" t="s">
        <v>145</v>
      </c>
      <c r="C134" s="357"/>
      <c r="D134" s="358"/>
      <c r="E134" s="29"/>
      <c r="F134" s="193"/>
    </row>
  </sheetData>
  <sheetProtection algorithmName="SHA-512" hashValue="WeWFGU2I8xXKfHbao/5iA/D9v+lPv1JLZ1yFqhlHKHaAi1OuNMV0j8R09ci0zwS5NI7U2zECsIvqtl6ibB918A==" saltValue="0TIIp9gHbEaRtgltj9QlTw==" spinCount="100000" sheet="1" objects="1" scenarios="1"/>
  <dataConsolidate/>
  <mergeCells count="153">
    <mergeCell ref="B22:D22"/>
    <mergeCell ref="A24:D24"/>
    <mergeCell ref="C25:D25"/>
    <mergeCell ref="C26:D26"/>
    <mergeCell ref="B13:D13"/>
    <mergeCell ref="B14:D14"/>
    <mergeCell ref="B15:D15"/>
    <mergeCell ref="B16:D16"/>
    <mergeCell ref="B17:D17"/>
    <mergeCell ref="A19:D19"/>
    <mergeCell ref="B9:D9"/>
    <mergeCell ref="B10:D10"/>
    <mergeCell ref="B11:D11"/>
    <mergeCell ref="B12:D12"/>
    <mergeCell ref="A3:D3"/>
    <mergeCell ref="A4:D4"/>
    <mergeCell ref="A6:D6"/>
    <mergeCell ref="B8:D8"/>
    <mergeCell ref="B21:D21"/>
    <mergeCell ref="C28:D28"/>
    <mergeCell ref="C29:D29"/>
    <mergeCell ref="A30:A34"/>
    <mergeCell ref="B30:B34"/>
    <mergeCell ref="C30:D30"/>
    <mergeCell ref="C31:D31"/>
    <mergeCell ref="C32:D32"/>
    <mergeCell ref="C33:D33"/>
    <mergeCell ref="C34:D34"/>
    <mergeCell ref="A27:A28"/>
    <mergeCell ref="B27:B28"/>
    <mergeCell ref="C27:D27"/>
    <mergeCell ref="A35:A36"/>
    <mergeCell ref="B35:B36"/>
    <mergeCell ref="C35:D35"/>
    <mergeCell ref="C36:D36"/>
    <mergeCell ref="A37:A38"/>
    <mergeCell ref="B37:B38"/>
    <mergeCell ref="C37:D37"/>
    <mergeCell ref="C38:D38"/>
    <mergeCell ref="C39:D39"/>
    <mergeCell ref="A40:A42"/>
    <mergeCell ref="B40:B42"/>
    <mergeCell ref="C40:D40"/>
    <mergeCell ref="C41:D41"/>
    <mergeCell ref="C42:D42"/>
    <mergeCell ref="C43:D43"/>
    <mergeCell ref="A44:A51"/>
    <mergeCell ref="B44:B51"/>
    <mergeCell ref="C44:D44"/>
    <mergeCell ref="C45:D45"/>
    <mergeCell ref="C46:D46"/>
    <mergeCell ref="C47:D47"/>
    <mergeCell ref="C48:D48"/>
    <mergeCell ref="C49:D49"/>
    <mergeCell ref="C50:D50"/>
    <mergeCell ref="C51:D51"/>
    <mergeCell ref="A59:A61"/>
    <mergeCell ref="B59:B61"/>
    <mergeCell ref="C59:D59"/>
    <mergeCell ref="C60:D60"/>
    <mergeCell ref="C61:D61"/>
    <mergeCell ref="C62:D62"/>
    <mergeCell ref="A52:A54"/>
    <mergeCell ref="B52:B54"/>
    <mergeCell ref="C52:D52"/>
    <mergeCell ref="C53:D53"/>
    <mergeCell ref="C54:D54"/>
    <mergeCell ref="C55:D55"/>
    <mergeCell ref="C56:D56"/>
    <mergeCell ref="A57:A58"/>
    <mergeCell ref="B57:B58"/>
    <mergeCell ref="C57:D57"/>
    <mergeCell ref="C58:D58"/>
    <mergeCell ref="C63:D63"/>
    <mergeCell ref="C64:D64"/>
    <mergeCell ref="C65:D65"/>
    <mergeCell ref="C66:D66"/>
    <mergeCell ref="C67:D67"/>
    <mergeCell ref="C76:D76"/>
    <mergeCell ref="C77:D77"/>
    <mergeCell ref="C78:D78"/>
    <mergeCell ref="A68:A69"/>
    <mergeCell ref="B68:B69"/>
    <mergeCell ref="C68:D68"/>
    <mergeCell ref="C69:D69"/>
    <mergeCell ref="C79:D79"/>
    <mergeCell ref="A81:D81"/>
    <mergeCell ref="C70:D70"/>
    <mergeCell ref="C71:D71"/>
    <mergeCell ref="C72:D72"/>
    <mergeCell ref="C73:D73"/>
    <mergeCell ref="C74:D74"/>
    <mergeCell ref="A82:D82"/>
    <mergeCell ref="A83:D83"/>
    <mergeCell ref="C75:D75"/>
    <mergeCell ref="A84:D84"/>
    <mergeCell ref="A85:D85"/>
    <mergeCell ref="A86:D86"/>
    <mergeCell ref="A87:D87"/>
    <mergeCell ref="A99:D99"/>
    <mergeCell ref="A88:D88"/>
    <mergeCell ref="A89:D89"/>
    <mergeCell ref="A90:D90"/>
    <mergeCell ref="A91:D91"/>
    <mergeCell ref="A92:D92"/>
    <mergeCell ref="A93:D93"/>
    <mergeCell ref="A101:D101"/>
    <mergeCell ref="A103:D103"/>
    <mergeCell ref="C104:D104"/>
    <mergeCell ref="C105:D105"/>
    <mergeCell ref="C106:D106"/>
    <mergeCell ref="A94:D94"/>
    <mergeCell ref="A95:D95"/>
    <mergeCell ref="A96:D96"/>
    <mergeCell ref="A97:D97"/>
    <mergeCell ref="A98:D98"/>
    <mergeCell ref="A100:D100"/>
    <mergeCell ref="C121:D121"/>
    <mergeCell ref="C122:D122"/>
    <mergeCell ref="A123:A124"/>
    <mergeCell ref="B123:B124"/>
    <mergeCell ref="C123:D123"/>
    <mergeCell ref="C124:D124"/>
    <mergeCell ref="C107:D107"/>
    <mergeCell ref="C108:D108"/>
    <mergeCell ref="A109:A112"/>
    <mergeCell ref="B109:B112"/>
    <mergeCell ref="C109:D109"/>
    <mergeCell ref="C110:D110"/>
    <mergeCell ref="C111:D111"/>
    <mergeCell ref="C112:D112"/>
    <mergeCell ref="A113:A120"/>
    <mergeCell ref="B113:B120"/>
    <mergeCell ref="C113:D113"/>
    <mergeCell ref="C114:D114"/>
    <mergeCell ref="C115:D115"/>
    <mergeCell ref="C116:D116"/>
    <mergeCell ref="C117:D117"/>
    <mergeCell ref="C118:D118"/>
    <mergeCell ref="C119:D119"/>
    <mergeCell ref="C120:D120"/>
    <mergeCell ref="C131:D131"/>
    <mergeCell ref="C132:D132"/>
    <mergeCell ref="C133:D133"/>
    <mergeCell ref="C134:D134"/>
    <mergeCell ref="C125:D125"/>
    <mergeCell ref="C126:D126"/>
    <mergeCell ref="C127:D127"/>
    <mergeCell ref="C128:D128"/>
    <mergeCell ref="A129:A130"/>
    <mergeCell ref="B129:B130"/>
    <mergeCell ref="C129:D129"/>
    <mergeCell ref="C130:D130"/>
  </mergeCells>
  <conditionalFormatting sqref="C55 C64">
    <cfRule type="expression" dxfId="29" priority="47">
      <formula>#REF!="NO"</formula>
    </cfRule>
  </conditionalFormatting>
  <conditionalFormatting sqref="C40:D42">
    <cfRule type="expression" dxfId="28" priority="17">
      <formula>$F$2="NO"</formula>
    </cfRule>
  </conditionalFormatting>
  <conditionalFormatting sqref="C26:E39">
    <cfRule type="expression" dxfId="27" priority="48">
      <formula>#REF!="NO"</formula>
    </cfRule>
  </conditionalFormatting>
  <conditionalFormatting sqref="C43:E79">
    <cfRule type="expression" dxfId="26" priority="16">
      <formula>#REF!="NO"</formula>
    </cfRule>
  </conditionalFormatting>
  <conditionalFormatting sqref="C105:F134">
    <cfRule type="expression" dxfId="25" priority="21">
      <formula>#REF!="NO"</formula>
    </cfRule>
  </conditionalFormatting>
  <conditionalFormatting sqref="E40:E42">
    <cfRule type="expression" dxfId="24" priority="20">
      <formula>#REF!="NO"</formula>
    </cfRule>
  </conditionalFormatting>
  <conditionalFormatting sqref="E83:F101">
    <cfRule type="expression" dxfId="23" priority="1">
      <formula>#REF!="NO"</formula>
    </cfRule>
  </conditionalFormatting>
  <conditionalFormatting sqref="F8:F17">
    <cfRule type="expression" dxfId="22" priority="44">
      <formula>#REF!="NO"</formula>
    </cfRule>
  </conditionalFormatting>
  <conditionalFormatting sqref="F21:F22">
    <cfRule type="expression" dxfId="21" priority="45">
      <formula>#REF!="NO"</formula>
    </cfRule>
  </conditionalFormatting>
  <conditionalFormatting sqref="F26:G79">
    <cfRule type="expression" dxfId="20" priority="14">
      <formula>#REF!="NO"</formula>
    </cfRule>
  </conditionalFormatting>
  <dataValidations count="3">
    <dataValidation type="decimal" allowBlank="1" showInputMessage="1" showErrorMessage="1" error="The Additional Options NYS Discount entered must be greater than 0%, or less than or equal to 100%." sqref="F22" xr:uid="{00000000-0002-0000-0B00-000002000000}">
      <formula1>0.01</formula1>
      <formula2>100</formula2>
    </dataValidation>
    <dataValidation type="decimal" allowBlank="1" showInputMessage="1" showErrorMessage="1" error="Invalid Entry - Bidder must enter a value that is greater than $0" sqref="F21" xr:uid="{00000000-0002-0000-0B00-000001000000}">
      <formula1>0</formula1>
      <formula2>9E+21</formula2>
    </dataValidation>
    <dataValidation type="decimal" operator="greaterThanOrEqual" allowBlank="1" showInputMessage="1" showErrorMessage="1" error="The Pickup Allowance cannot be a negative number." sqref="F16" xr:uid="{00000000-0002-0000-0B00-000000000000}">
      <formula1>0</formula1>
    </dataValidation>
  </dataValidations>
  <pageMargins left="0.25" right="0.25" top="0.5" bottom="0.25" header="0.3" footer="0.3"/>
  <pageSetup scale="93" fitToHeight="0" orientation="landscape" r:id="rId1"/>
  <rowBreaks count="3" manualBreakCount="3">
    <brk id="22" max="6" man="1"/>
    <brk id="51" max="6" man="1"/>
    <brk id="128" max="6"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5DD85-6FB9-4885-AF54-36A37AFDE5A4}">
  <sheetPr codeName="Sheet14">
    <tabColor theme="8"/>
    <pageSetUpPr autoPageBreaks="0" fitToPage="1"/>
  </sheetPr>
  <dimension ref="A1:G134"/>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0.7109375" style="250" customWidth="1"/>
    <col min="7" max="7" width="2.7109375" style="2" customWidth="1"/>
    <col min="8" max="16384" width="9.140625" style="2"/>
  </cols>
  <sheetData>
    <row r="1" spans="1:7" ht="18" customHeight="1" x14ac:dyDescent="0.2">
      <c r="A1" s="245" t="str">
        <f>'A (Item 2-G)'!$A$1</f>
        <v>GROUP 40524-23254, SCHOOL BUSES (Statewide)                                                             Attachment 1 - Specifications and Pricing (Revised October 15, 2026)</v>
      </c>
      <c r="F1" s="177"/>
    </row>
    <row r="2" spans="1:7" s="19" customFormat="1" ht="18" customHeight="1" thickBot="1" x14ac:dyDescent="0.3">
      <c r="A2" s="305" t="str">
        <f>'Attachment 1 - Summary'!B2</f>
        <v>PC69862 Matthews Buses, Inc.</v>
      </c>
      <c r="B2" s="20"/>
      <c r="C2" s="20"/>
      <c r="D2" s="20"/>
      <c r="E2" s="20"/>
      <c r="F2" s="273"/>
      <c r="G2" s="20"/>
    </row>
    <row r="3" spans="1:7" ht="24" thickBot="1" x14ac:dyDescent="0.25">
      <c r="A3" s="533" t="s">
        <v>322</v>
      </c>
      <c r="B3" s="534"/>
      <c r="C3" s="534"/>
      <c r="D3" s="535"/>
      <c r="E3" s="8"/>
      <c r="F3" s="274"/>
      <c r="G3" s="8"/>
    </row>
    <row r="4" spans="1:7" ht="51" customHeight="1" thickBot="1" x14ac:dyDescent="0.25">
      <c r="A4" s="329" t="s">
        <v>321</v>
      </c>
      <c r="B4" s="330"/>
      <c r="C4" s="330"/>
      <c r="D4" s="331"/>
      <c r="E4" s="8"/>
      <c r="F4" s="274"/>
      <c r="G4" s="8"/>
    </row>
    <row r="5" spans="1:7" s="4" customFormat="1" ht="11.25" customHeight="1" thickBot="1" x14ac:dyDescent="0.3">
      <c r="A5" s="51"/>
      <c r="B5" s="51"/>
      <c r="C5" s="51"/>
      <c r="D5" s="51"/>
      <c r="E5" s="51"/>
      <c r="F5" s="301"/>
    </row>
    <row r="6" spans="1:7" s="7" customFormat="1" ht="16.5" customHeight="1" thickBot="1" x14ac:dyDescent="0.25">
      <c r="A6" s="335" t="s">
        <v>151</v>
      </c>
      <c r="B6" s="336"/>
      <c r="C6" s="336"/>
      <c r="D6" s="337"/>
      <c r="E6" s="30"/>
      <c r="F6" s="217" t="s">
        <v>337</v>
      </c>
      <c r="G6" s="30"/>
    </row>
    <row r="7" spans="1:7" s="4" customFormat="1" ht="15" customHeight="1" thickBot="1" x14ac:dyDescent="0.3">
      <c r="A7" s="35" t="s">
        <v>6</v>
      </c>
      <c r="B7" s="21" t="s">
        <v>165</v>
      </c>
      <c r="C7" s="26"/>
      <c r="D7" s="34"/>
      <c r="E7" s="31"/>
      <c r="F7" s="246" t="s">
        <v>19</v>
      </c>
      <c r="G7" s="31"/>
    </row>
    <row r="8" spans="1:7" ht="65.25" thickTop="1" thickBot="1" x14ac:dyDescent="0.25">
      <c r="A8" s="36" t="s">
        <v>9</v>
      </c>
      <c r="B8" s="323" t="s">
        <v>152</v>
      </c>
      <c r="C8" s="324"/>
      <c r="D8" s="325"/>
      <c r="E8" s="12"/>
      <c r="F8" s="178" t="s">
        <v>490</v>
      </c>
      <c r="G8" s="12"/>
    </row>
    <row r="9" spans="1:7" s="7" customFormat="1" ht="44.25" customHeight="1" thickTop="1" thickBot="1" x14ac:dyDescent="0.25">
      <c r="A9" s="36" t="s">
        <v>136</v>
      </c>
      <c r="B9" s="323" t="s">
        <v>191</v>
      </c>
      <c r="C9" s="324"/>
      <c r="D9" s="325"/>
      <c r="E9" s="12"/>
      <c r="F9" s="178" t="s">
        <v>491</v>
      </c>
      <c r="G9" s="12"/>
    </row>
    <row r="10" spans="1:7" ht="12.75" customHeight="1" thickTop="1" x14ac:dyDescent="0.2">
      <c r="A10" s="37" t="s">
        <v>0</v>
      </c>
      <c r="B10" s="314" t="s">
        <v>154</v>
      </c>
      <c r="C10" s="315"/>
      <c r="D10" s="316"/>
      <c r="E10" s="12"/>
      <c r="F10" s="180" t="s">
        <v>337</v>
      </c>
      <c r="G10" s="12"/>
    </row>
    <row r="11" spans="1:7" x14ac:dyDescent="0.2">
      <c r="A11" s="37" t="s">
        <v>1</v>
      </c>
      <c r="B11" s="314" t="s">
        <v>153</v>
      </c>
      <c r="C11" s="315"/>
      <c r="D11" s="316"/>
      <c r="E11" s="12"/>
      <c r="F11" s="180" t="s">
        <v>492</v>
      </c>
      <c r="G11" s="12"/>
    </row>
    <row r="12" spans="1:7" ht="12.75" customHeight="1" thickBot="1" x14ac:dyDescent="0.25">
      <c r="A12" s="38" t="s">
        <v>2</v>
      </c>
      <c r="B12" s="317" t="s">
        <v>155</v>
      </c>
      <c r="C12" s="318"/>
      <c r="D12" s="319"/>
      <c r="E12" s="12"/>
      <c r="F12" s="181" t="s">
        <v>492</v>
      </c>
      <c r="G12" s="12"/>
    </row>
    <row r="13" spans="1:7" ht="13.5" thickTop="1" x14ac:dyDescent="0.2">
      <c r="A13" s="37" t="s">
        <v>3</v>
      </c>
      <c r="B13" s="314" t="s">
        <v>157</v>
      </c>
      <c r="C13" s="315"/>
      <c r="D13" s="316"/>
      <c r="E13" s="12"/>
      <c r="F13" s="180" t="s">
        <v>337</v>
      </c>
      <c r="G13" s="12"/>
    </row>
    <row r="14" spans="1:7" x14ac:dyDescent="0.2">
      <c r="A14" s="37" t="s">
        <v>4</v>
      </c>
      <c r="B14" s="314" t="s">
        <v>156</v>
      </c>
      <c r="C14" s="315"/>
      <c r="D14" s="316"/>
      <c r="E14" s="12"/>
      <c r="F14" s="180" t="s">
        <v>493</v>
      </c>
      <c r="G14" s="12"/>
    </row>
    <row r="15" spans="1:7" ht="15.75" customHeight="1" thickBot="1" x14ac:dyDescent="0.25">
      <c r="A15" s="39" t="s">
        <v>5</v>
      </c>
      <c r="B15" s="317" t="s">
        <v>158</v>
      </c>
      <c r="C15" s="318"/>
      <c r="D15" s="319"/>
      <c r="E15" s="12"/>
      <c r="F15" s="182" t="s">
        <v>494</v>
      </c>
      <c r="G15" s="12"/>
    </row>
    <row r="16" spans="1:7" ht="29.25" customHeight="1" thickTop="1" x14ac:dyDescent="0.2">
      <c r="A16" s="37" t="s">
        <v>101</v>
      </c>
      <c r="B16" s="320" t="s">
        <v>160</v>
      </c>
      <c r="C16" s="321"/>
      <c r="D16" s="322"/>
      <c r="E16" s="12"/>
      <c r="F16" s="183">
        <v>100</v>
      </c>
      <c r="G16" s="12"/>
    </row>
    <row r="17" spans="1:7" ht="30.75" customHeight="1" thickBot="1" x14ac:dyDescent="0.25">
      <c r="A17" s="39" t="s">
        <v>43</v>
      </c>
      <c r="B17" s="317" t="s">
        <v>159</v>
      </c>
      <c r="C17" s="318"/>
      <c r="D17" s="319"/>
      <c r="E17" s="12"/>
      <c r="F17" s="182" t="s">
        <v>369</v>
      </c>
      <c r="G17" s="12"/>
    </row>
    <row r="18" spans="1:7" s="9" customFormat="1" ht="14.25" thickTop="1" thickBot="1" x14ac:dyDescent="0.25">
      <c r="C18" s="10"/>
      <c r="D18" s="10"/>
      <c r="E18" s="10"/>
      <c r="F18" s="185"/>
      <c r="G18" s="10"/>
    </row>
    <row r="19" spans="1:7" s="11" customFormat="1" ht="16.5" customHeight="1" thickBot="1" x14ac:dyDescent="0.25">
      <c r="A19" s="335" t="s">
        <v>150</v>
      </c>
      <c r="B19" s="336"/>
      <c r="C19" s="336"/>
      <c r="D19" s="337"/>
      <c r="E19" s="30"/>
      <c r="F19" s="217" t="s">
        <v>337</v>
      </c>
      <c r="G19" s="30"/>
    </row>
    <row r="20" spans="1:7" s="4" customFormat="1" ht="15" customHeight="1" thickBot="1" x14ac:dyDescent="0.3">
      <c r="A20" s="49" t="s">
        <v>6</v>
      </c>
      <c r="B20" s="25" t="s">
        <v>165</v>
      </c>
      <c r="C20" s="27"/>
      <c r="D20" s="42"/>
      <c r="E20" s="31"/>
      <c r="F20" s="246" t="s">
        <v>19</v>
      </c>
      <c r="G20" s="31"/>
    </row>
    <row r="21" spans="1:7" ht="56.25" customHeight="1" x14ac:dyDescent="0.2">
      <c r="A21" s="40" t="s">
        <v>42</v>
      </c>
      <c r="B21" s="338" t="s">
        <v>161</v>
      </c>
      <c r="C21" s="339"/>
      <c r="D21" s="340"/>
      <c r="E21" s="12"/>
      <c r="F21" s="247">
        <f>166516.7*('PPI Adj'!D6)</f>
        <v>194324.98890000003</v>
      </c>
      <c r="G21" s="12"/>
    </row>
    <row r="22" spans="1:7" ht="33" customHeight="1" thickBot="1" x14ac:dyDescent="0.25">
      <c r="A22" s="41" t="s">
        <v>41</v>
      </c>
      <c r="B22" s="359" t="s">
        <v>163</v>
      </c>
      <c r="C22" s="360"/>
      <c r="D22" s="361"/>
      <c r="E22" s="1"/>
      <c r="F22" s="188">
        <v>20</v>
      </c>
      <c r="G22" s="1"/>
    </row>
    <row r="23" spans="1:7" ht="13.5" thickBot="1" x14ac:dyDescent="0.25">
      <c r="A23" s="52"/>
      <c r="B23" s="1"/>
      <c r="C23" s="1"/>
      <c r="D23" s="1"/>
      <c r="E23" s="1"/>
      <c r="F23" s="249"/>
      <c r="G23" s="1"/>
    </row>
    <row r="24" spans="1:7" s="7" customFormat="1" ht="15.75" customHeight="1" thickBot="1" x14ac:dyDescent="0.25">
      <c r="A24" s="362" t="s">
        <v>164</v>
      </c>
      <c r="B24" s="363"/>
      <c r="C24" s="363"/>
      <c r="D24" s="364"/>
      <c r="E24" s="32"/>
      <c r="F24" s="217" t="s">
        <v>337</v>
      </c>
      <c r="G24" s="32"/>
    </row>
    <row r="25" spans="1:7" s="3" customFormat="1" ht="15" customHeight="1" thickBot="1" x14ac:dyDescent="0.3">
      <c r="A25" s="49" t="s">
        <v>6</v>
      </c>
      <c r="B25" s="50" t="s">
        <v>7</v>
      </c>
      <c r="C25" s="365" t="s">
        <v>165</v>
      </c>
      <c r="D25" s="366"/>
      <c r="E25" s="33"/>
      <c r="F25" s="246" t="s">
        <v>19</v>
      </c>
      <c r="G25" s="33"/>
    </row>
    <row r="26" spans="1:7" s="12" customFormat="1" ht="65.45" customHeight="1" thickBot="1" x14ac:dyDescent="0.3">
      <c r="A26" s="43" t="s">
        <v>8</v>
      </c>
      <c r="B26" s="24" t="s">
        <v>320</v>
      </c>
      <c r="C26" s="341" t="s">
        <v>118</v>
      </c>
      <c r="D26" s="342"/>
      <c r="E26" s="28"/>
      <c r="F26" s="184">
        <v>33000</v>
      </c>
      <c r="G26" s="28"/>
    </row>
    <row r="27" spans="1:7" s="12" customFormat="1" x14ac:dyDescent="0.25">
      <c r="A27" s="343" t="s">
        <v>21</v>
      </c>
      <c r="B27" s="345" t="s">
        <v>313</v>
      </c>
      <c r="C27" s="347" t="s">
        <v>67</v>
      </c>
      <c r="D27" s="348"/>
      <c r="E27" s="28"/>
      <c r="F27" s="192">
        <v>11</v>
      </c>
      <c r="G27" s="28"/>
    </row>
    <row r="28" spans="1:7" s="12" customFormat="1" ht="13.5" thickBot="1" x14ac:dyDescent="0.3">
      <c r="A28" s="344"/>
      <c r="B28" s="346"/>
      <c r="C28" s="341" t="s">
        <v>68</v>
      </c>
      <c r="D28" s="342"/>
      <c r="E28" s="28"/>
      <c r="F28" s="184">
        <v>66</v>
      </c>
      <c r="G28" s="28"/>
    </row>
    <row r="29" spans="1:7" s="12" customFormat="1" ht="15.6" customHeight="1" thickBot="1" x14ac:dyDescent="0.3">
      <c r="A29" s="44" t="s">
        <v>123</v>
      </c>
      <c r="B29" s="24" t="s">
        <v>108</v>
      </c>
      <c r="C29" s="357"/>
      <c r="D29" s="358"/>
      <c r="E29" s="29"/>
      <c r="F29" s="193"/>
      <c r="G29" s="29"/>
    </row>
    <row r="30" spans="1:7" s="12" customFormat="1" x14ac:dyDescent="0.25">
      <c r="A30" s="343" t="s">
        <v>59</v>
      </c>
      <c r="B30" s="345"/>
      <c r="C30" s="347" t="s">
        <v>58</v>
      </c>
      <c r="D30" s="348"/>
      <c r="E30" s="28"/>
      <c r="F30" s="192">
        <v>209</v>
      </c>
      <c r="G30" s="28"/>
    </row>
    <row r="31" spans="1:7" s="12" customFormat="1" x14ac:dyDescent="0.25">
      <c r="A31" s="351"/>
      <c r="B31" s="352"/>
      <c r="C31" s="353" t="s">
        <v>57</v>
      </c>
      <c r="D31" s="354"/>
      <c r="E31" s="28"/>
      <c r="F31" s="180">
        <v>407</v>
      </c>
      <c r="G31" s="28"/>
    </row>
    <row r="32" spans="1:7" s="12" customFormat="1" x14ac:dyDescent="0.25">
      <c r="A32" s="351"/>
      <c r="B32" s="352"/>
      <c r="C32" s="353" t="s">
        <v>69</v>
      </c>
      <c r="D32" s="354"/>
      <c r="E32" s="28"/>
      <c r="F32" s="180">
        <v>90</v>
      </c>
      <c r="G32" s="28"/>
    </row>
    <row r="33" spans="1:7" s="12" customFormat="1" x14ac:dyDescent="0.25">
      <c r="A33" s="351"/>
      <c r="B33" s="352"/>
      <c r="C33" s="355" t="s">
        <v>70</v>
      </c>
      <c r="D33" s="356"/>
      <c r="E33" s="28"/>
      <c r="F33" s="180">
        <v>78</v>
      </c>
      <c r="G33" s="28"/>
    </row>
    <row r="34" spans="1:7" s="12" customFormat="1" ht="13.5" thickBot="1" x14ac:dyDescent="0.3">
      <c r="A34" s="344"/>
      <c r="B34" s="346"/>
      <c r="C34" s="341" t="s">
        <v>111</v>
      </c>
      <c r="D34" s="342"/>
      <c r="E34" s="28"/>
      <c r="F34" s="184">
        <v>303</v>
      </c>
      <c r="G34" s="28"/>
    </row>
    <row r="35" spans="1:7" s="12" customFormat="1" x14ac:dyDescent="0.25">
      <c r="A35" s="343" t="s">
        <v>11</v>
      </c>
      <c r="B35" s="345"/>
      <c r="C35" s="347" t="s">
        <v>24</v>
      </c>
      <c r="D35" s="348"/>
      <c r="E35" s="28"/>
      <c r="F35" s="192">
        <v>13200</v>
      </c>
      <c r="G35" s="28"/>
    </row>
    <row r="36" spans="1:7" s="12" customFormat="1" ht="13.5" thickBot="1" x14ac:dyDescent="0.3">
      <c r="A36" s="344"/>
      <c r="B36" s="346"/>
      <c r="C36" s="341" t="s">
        <v>22</v>
      </c>
      <c r="D36" s="342"/>
      <c r="E36" s="28"/>
      <c r="F36" s="184">
        <v>13200</v>
      </c>
      <c r="G36" s="28"/>
    </row>
    <row r="37" spans="1:7" s="12" customFormat="1" x14ac:dyDescent="0.25">
      <c r="A37" s="343" t="s">
        <v>16</v>
      </c>
      <c r="B37" s="345"/>
      <c r="C37" s="347" t="s">
        <v>24</v>
      </c>
      <c r="D37" s="348"/>
      <c r="E37" s="28"/>
      <c r="F37" s="192">
        <v>23000</v>
      </c>
      <c r="G37" s="28"/>
    </row>
    <row r="38" spans="1:7" s="12" customFormat="1" ht="13.5" thickBot="1" x14ac:dyDescent="0.3">
      <c r="A38" s="344"/>
      <c r="B38" s="346"/>
      <c r="C38" s="349" t="s">
        <v>23</v>
      </c>
      <c r="D38" s="350"/>
      <c r="E38" s="28"/>
      <c r="F38" s="184">
        <v>23000</v>
      </c>
      <c r="G38" s="28"/>
    </row>
    <row r="39" spans="1:7" s="12" customFormat="1" ht="17.100000000000001" customHeight="1" thickBot="1" x14ac:dyDescent="0.3">
      <c r="A39" s="44" t="s">
        <v>52</v>
      </c>
      <c r="B39" s="24" t="s">
        <v>53</v>
      </c>
      <c r="C39" s="357"/>
      <c r="D39" s="358"/>
      <c r="E39" s="29"/>
      <c r="F39" s="193"/>
      <c r="G39" s="29"/>
    </row>
    <row r="40" spans="1:7" s="12" customFormat="1" x14ac:dyDescent="0.25">
      <c r="A40" s="343" t="s">
        <v>219</v>
      </c>
      <c r="B40" s="345" t="s">
        <v>222</v>
      </c>
      <c r="C40" s="347" t="s">
        <v>221</v>
      </c>
      <c r="D40" s="348"/>
      <c r="E40" s="28"/>
      <c r="F40" s="192" t="s">
        <v>467</v>
      </c>
      <c r="G40" s="28"/>
    </row>
    <row r="41" spans="1:7" s="12" customFormat="1" ht="14.45" customHeight="1" x14ac:dyDescent="0.25">
      <c r="A41" s="351"/>
      <c r="B41" s="352"/>
      <c r="C41" s="353" t="s">
        <v>220</v>
      </c>
      <c r="D41" s="354"/>
      <c r="E41" s="28"/>
      <c r="F41" s="180" t="s">
        <v>428</v>
      </c>
      <c r="G41" s="28"/>
    </row>
    <row r="42" spans="1:7" s="12" customFormat="1" ht="70.5" customHeight="1" thickBot="1" x14ac:dyDescent="0.3">
      <c r="A42" s="344"/>
      <c r="B42" s="352"/>
      <c r="C42" s="349"/>
      <c r="D42" s="350"/>
      <c r="E42" s="28"/>
      <c r="F42" s="179"/>
      <c r="G42" s="28"/>
    </row>
    <row r="43" spans="1:7" s="12" customFormat="1" ht="30" customHeight="1" thickBot="1" x14ac:dyDescent="0.3">
      <c r="A43" s="44" t="s">
        <v>219</v>
      </c>
      <c r="B43" s="24" t="s">
        <v>218</v>
      </c>
      <c r="C43" s="357"/>
      <c r="D43" s="358"/>
      <c r="E43" s="29"/>
      <c r="F43" s="193"/>
      <c r="G43" s="29"/>
    </row>
    <row r="44" spans="1:7" s="12" customFormat="1" ht="13.5" thickBot="1" x14ac:dyDescent="0.3">
      <c r="A44" s="367" t="s">
        <v>12</v>
      </c>
      <c r="B44" s="368" t="s">
        <v>142</v>
      </c>
      <c r="C44" s="347" t="s">
        <v>174</v>
      </c>
      <c r="D44" s="348"/>
      <c r="E44" s="28"/>
      <c r="F44" s="192" t="s">
        <v>416</v>
      </c>
      <c r="G44" s="28"/>
    </row>
    <row r="45" spans="1:7" s="12" customFormat="1" ht="13.5" thickBot="1" x14ac:dyDescent="0.3">
      <c r="A45" s="367"/>
      <c r="B45" s="368"/>
      <c r="C45" s="353" t="s">
        <v>175</v>
      </c>
      <c r="D45" s="354"/>
      <c r="E45" s="28"/>
      <c r="F45" s="180">
        <v>6610</v>
      </c>
      <c r="G45" s="28"/>
    </row>
    <row r="46" spans="1:7" s="12" customFormat="1" ht="13.5" thickBot="1" x14ac:dyDescent="0.3">
      <c r="A46" s="367"/>
      <c r="B46" s="368"/>
      <c r="C46" s="353" t="s">
        <v>176</v>
      </c>
      <c r="D46" s="354"/>
      <c r="E46" s="28"/>
      <c r="F46" s="209" t="s">
        <v>416</v>
      </c>
      <c r="G46" s="28"/>
    </row>
    <row r="47" spans="1:7" s="12" customFormat="1" ht="13.5" thickBot="1" x14ac:dyDescent="0.3">
      <c r="A47" s="367"/>
      <c r="B47" s="368"/>
      <c r="C47" s="353" t="s">
        <v>177</v>
      </c>
      <c r="D47" s="354"/>
      <c r="E47" s="28"/>
      <c r="F47" s="180">
        <v>6005</v>
      </c>
      <c r="G47" s="28"/>
    </row>
    <row r="48" spans="1:7" s="12" customFormat="1" ht="13.5" thickBot="1" x14ac:dyDescent="0.3">
      <c r="A48" s="367"/>
      <c r="B48" s="368"/>
      <c r="C48" s="353" t="s">
        <v>112</v>
      </c>
      <c r="D48" s="354"/>
      <c r="E48" s="28"/>
      <c r="F48" s="180" t="s">
        <v>486</v>
      </c>
      <c r="G48" s="28"/>
    </row>
    <row r="49" spans="1:7" s="12" customFormat="1" ht="13.5" thickBot="1" x14ac:dyDescent="0.3">
      <c r="A49" s="367"/>
      <c r="B49" s="368"/>
      <c r="C49" s="353" t="s">
        <v>113</v>
      </c>
      <c r="D49" s="354"/>
      <c r="E49" s="28"/>
      <c r="F49" s="180" t="s">
        <v>487</v>
      </c>
      <c r="G49" s="28"/>
    </row>
    <row r="50" spans="1:7" s="12" customFormat="1" ht="13.5" thickBot="1" x14ac:dyDescent="0.3">
      <c r="A50" s="367"/>
      <c r="B50" s="368"/>
      <c r="C50" s="355" t="s">
        <v>114</v>
      </c>
      <c r="D50" s="356"/>
      <c r="E50" s="28"/>
      <c r="F50" s="180" t="s">
        <v>486</v>
      </c>
      <c r="G50" s="28"/>
    </row>
    <row r="51" spans="1:7" s="12" customFormat="1" ht="13.5" thickBot="1" x14ac:dyDescent="0.3">
      <c r="A51" s="367"/>
      <c r="B51" s="368"/>
      <c r="C51" s="341" t="s">
        <v>115</v>
      </c>
      <c r="D51" s="342"/>
      <c r="E51" s="28"/>
      <c r="F51" s="184" t="s">
        <v>487</v>
      </c>
      <c r="G51" s="28"/>
    </row>
    <row r="52" spans="1:7" s="12" customFormat="1" x14ac:dyDescent="0.25">
      <c r="A52" s="343" t="s">
        <v>10</v>
      </c>
      <c r="B52" s="345" t="s">
        <v>217</v>
      </c>
      <c r="C52" s="347" t="s">
        <v>116</v>
      </c>
      <c r="D52" s="348"/>
      <c r="E52" s="28"/>
      <c r="F52" s="192">
        <v>5</v>
      </c>
      <c r="G52" s="28"/>
    </row>
    <row r="53" spans="1:7" s="12" customFormat="1" x14ac:dyDescent="0.25">
      <c r="A53" s="351"/>
      <c r="B53" s="352"/>
      <c r="C53" s="353" t="s">
        <v>117</v>
      </c>
      <c r="D53" s="354"/>
      <c r="E53" s="28"/>
      <c r="F53" s="180" t="s">
        <v>344</v>
      </c>
      <c r="G53" s="28"/>
    </row>
    <row r="54" spans="1:7" s="12" customFormat="1" ht="26.25" thickBot="1" x14ac:dyDescent="0.3">
      <c r="A54" s="351"/>
      <c r="B54" s="352"/>
      <c r="C54" s="349" t="s">
        <v>71</v>
      </c>
      <c r="D54" s="350"/>
      <c r="E54" s="28"/>
      <c r="F54" s="179" t="s">
        <v>470</v>
      </c>
      <c r="G54" s="28"/>
    </row>
    <row r="55" spans="1:7" s="12" customFormat="1" ht="77.099999999999994" customHeight="1" thickBot="1" x14ac:dyDescent="0.3">
      <c r="A55" s="45" t="s">
        <v>9</v>
      </c>
      <c r="B55" s="22" t="s">
        <v>254</v>
      </c>
      <c r="C55" s="355"/>
      <c r="D55" s="356"/>
      <c r="E55" s="28"/>
      <c r="F55" s="192"/>
      <c r="G55" s="28"/>
    </row>
    <row r="56" spans="1:7" s="12" customFormat="1" ht="27.95" customHeight="1" thickBot="1" x14ac:dyDescent="0.3">
      <c r="A56" s="44" t="s">
        <v>253</v>
      </c>
      <c r="B56" s="22" t="s">
        <v>252</v>
      </c>
      <c r="C56" s="357"/>
      <c r="D56" s="358"/>
      <c r="E56" s="29"/>
      <c r="F56" s="196"/>
      <c r="G56" s="29"/>
    </row>
    <row r="57" spans="1:7" s="12" customFormat="1" ht="25.5" x14ac:dyDescent="0.25">
      <c r="A57" s="343" t="s">
        <v>25</v>
      </c>
      <c r="B57" s="345" t="s">
        <v>93</v>
      </c>
      <c r="C57" s="347" t="s">
        <v>72</v>
      </c>
      <c r="D57" s="348"/>
      <c r="E57" s="28"/>
      <c r="F57" s="192" t="s">
        <v>495</v>
      </c>
      <c r="G57" s="28"/>
    </row>
    <row r="58" spans="1:7" s="12" customFormat="1" ht="57.6" customHeight="1" thickBot="1" x14ac:dyDescent="0.3">
      <c r="A58" s="344"/>
      <c r="B58" s="346"/>
      <c r="C58" s="341" t="s">
        <v>73</v>
      </c>
      <c r="D58" s="342"/>
      <c r="E58" s="28"/>
      <c r="F58" s="184">
        <v>200</v>
      </c>
      <c r="G58" s="28"/>
    </row>
    <row r="59" spans="1:7" s="12" customFormat="1" x14ac:dyDescent="0.25">
      <c r="A59" s="343" t="s">
        <v>26</v>
      </c>
      <c r="B59" s="345" t="s">
        <v>251</v>
      </c>
      <c r="C59" s="347" t="s">
        <v>74</v>
      </c>
      <c r="D59" s="348"/>
      <c r="E59" s="28"/>
      <c r="F59" s="192" t="s">
        <v>496</v>
      </c>
      <c r="G59" s="28"/>
    </row>
    <row r="60" spans="1:7" s="12" customFormat="1" x14ac:dyDescent="0.25">
      <c r="A60" s="351"/>
      <c r="B60" s="352"/>
      <c r="C60" s="353" t="s">
        <v>75</v>
      </c>
      <c r="D60" s="354"/>
      <c r="E60" s="28"/>
      <c r="F60" s="180">
        <v>3</v>
      </c>
      <c r="G60" s="28"/>
    </row>
    <row r="61" spans="1:7" s="12" customFormat="1" ht="32.25" customHeight="1" thickBot="1" x14ac:dyDescent="0.3">
      <c r="A61" s="344"/>
      <c r="B61" s="346"/>
      <c r="C61" s="341" t="s">
        <v>250</v>
      </c>
      <c r="D61" s="342"/>
      <c r="E61" s="28"/>
      <c r="F61" s="184" t="s">
        <v>497</v>
      </c>
      <c r="G61" s="28"/>
    </row>
    <row r="62" spans="1:7" s="12" customFormat="1" ht="15.95" customHeight="1" thickBot="1" x14ac:dyDescent="0.3">
      <c r="A62" s="44" t="s">
        <v>44</v>
      </c>
      <c r="B62" s="24" t="s">
        <v>45</v>
      </c>
      <c r="C62" s="357"/>
      <c r="D62" s="358"/>
      <c r="E62" s="29"/>
      <c r="F62" s="196"/>
      <c r="G62" s="29"/>
    </row>
    <row r="63" spans="1:7" s="12" customFormat="1" ht="28.5" customHeight="1" thickBot="1" x14ac:dyDescent="0.3">
      <c r="A63" s="44" t="s">
        <v>44</v>
      </c>
      <c r="B63" s="24" t="s">
        <v>63</v>
      </c>
      <c r="C63" s="357"/>
      <c r="D63" s="358"/>
      <c r="E63" s="29"/>
      <c r="F63" s="196"/>
      <c r="G63" s="29"/>
    </row>
    <row r="64" spans="1:7" s="12" customFormat="1" ht="27.95" customHeight="1" thickBot="1" x14ac:dyDescent="0.3">
      <c r="A64" s="44" t="s">
        <v>44</v>
      </c>
      <c r="B64" s="24" t="s">
        <v>64</v>
      </c>
      <c r="C64" s="357"/>
      <c r="D64" s="358"/>
      <c r="E64" s="29"/>
      <c r="F64" s="196"/>
      <c r="G64" s="29"/>
    </row>
    <row r="65" spans="1:7" s="12" customFormat="1" ht="29.45" customHeight="1" thickBot="1" x14ac:dyDescent="0.3">
      <c r="A65" s="44" t="s">
        <v>50</v>
      </c>
      <c r="B65" s="24" t="s">
        <v>216</v>
      </c>
      <c r="C65" s="357"/>
      <c r="D65" s="358"/>
      <c r="E65" s="29"/>
      <c r="F65" s="196"/>
      <c r="G65" s="29"/>
    </row>
    <row r="66" spans="1:7" s="12" customFormat="1" ht="15.6" customHeight="1" thickBot="1" x14ac:dyDescent="0.3">
      <c r="A66" s="44" t="s">
        <v>27</v>
      </c>
      <c r="B66" s="24" t="s">
        <v>215</v>
      </c>
      <c r="C66" s="369" t="s">
        <v>77</v>
      </c>
      <c r="D66" s="370"/>
      <c r="E66" s="28"/>
      <c r="F66" s="193" t="s">
        <v>498</v>
      </c>
      <c r="G66" s="28"/>
    </row>
    <row r="67" spans="1:7" s="12" customFormat="1" ht="51.75" thickBot="1" x14ac:dyDescent="0.3">
      <c r="A67" s="44" t="s">
        <v>214</v>
      </c>
      <c r="B67" s="24" t="s">
        <v>213</v>
      </c>
      <c r="C67" s="369"/>
      <c r="D67" s="370"/>
      <c r="E67" s="28"/>
      <c r="F67" s="193"/>
      <c r="G67" s="28"/>
    </row>
    <row r="68" spans="1:7" s="12" customFormat="1" ht="15" customHeight="1" x14ac:dyDescent="0.25">
      <c r="A68" s="343" t="s">
        <v>28</v>
      </c>
      <c r="B68" s="345" t="s">
        <v>264</v>
      </c>
      <c r="C68" s="472" t="s">
        <v>248</v>
      </c>
      <c r="D68" s="348"/>
      <c r="E68" s="28"/>
      <c r="F68" s="192">
        <v>60</v>
      </c>
      <c r="G68" s="28"/>
    </row>
    <row r="69" spans="1:7" s="12" customFormat="1" ht="29.25" customHeight="1" thickBot="1" x14ac:dyDescent="0.3">
      <c r="A69" s="344"/>
      <c r="B69" s="346"/>
      <c r="C69" s="413" t="s">
        <v>247</v>
      </c>
      <c r="D69" s="342"/>
      <c r="E69" s="28"/>
      <c r="F69" s="184" t="s">
        <v>499</v>
      </c>
      <c r="G69" s="28"/>
    </row>
    <row r="70" spans="1:7" s="12" customFormat="1" ht="41.1" customHeight="1" thickBot="1" x14ac:dyDescent="0.3">
      <c r="A70" s="44" t="s">
        <v>51</v>
      </c>
      <c r="B70" s="24" t="s">
        <v>212</v>
      </c>
      <c r="C70" s="357"/>
      <c r="D70" s="358"/>
      <c r="E70" s="29"/>
      <c r="F70" s="193"/>
      <c r="G70" s="29"/>
    </row>
    <row r="71" spans="1:7" s="12" customFormat="1" ht="40.5" customHeight="1" thickBot="1" x14ac:dyDescent="0.3">
      <c r="A71" s="44" t="s">
        <v>54</v>
      </c>
      <c r="B71" s="24" t="s">
        <v>80</v>
      </c>
      <c r="C71" s="357"/>
      <c r="D71" s="358"/>
      <c r="E71" s="29"/>
      <c r="F71" s="193"/>
      <c r="G71" s="29"/>
    </row>
    <row r="72" spans="1:7" s="12" customFormat="1" ht="78" customHeight="1" thickBot="1" x14ac:dyDescent="0.3">
      <c r="A72" s="44" t="s">
        <v>29</v>
      </c>
      <c r="B72" s="24" t="s">
        <v>211</v>
      </c>
      <c r="C72" s="357"/>
      <c r="D72" s="358"/>
      <c r="E72" s="29"/>
      <c r="F72" s="193"/>
      <c r="G72" s="29"/>
    </row>
    <row r="73" spans="1:7" s="12" customFormat="1" ht="53.45" customHeight="1" thickBot="1" x14ac:dyDescent="0.3">
      <c r="A73" s="44" t="s">
        <v>31</v>
      </c>
      <c r="B73" s="24" t="s">
        <v>210</v>
      </c>
      <c r="C73" s="369" t="s">
        <v>30</v>
      </c>
      <c r="D73" s="370"/>
      <c r="E73" s="28"/>
      <c r="F73" s="193" t="s">
        <v>411</v>
      </c>
      <c r="G73" s="28"/>
    </row>
    <row r="74" spans="1:7" s="12" customFormat="1" ht="28.5" customHeight="1" thickBot="1" x14ac:dyDescent="0.3">
      <c r="A74" s="44" t="s">
        <v>55</v>
      </c>
      <c r="B74" s="24" t="s">
        <v>95</v>
      </c>
      <c r="C74" s="357"/>
      <c r="D74" s="358"/>
      <c r="E74" s="29"/>
      <c r="F74" s="193"/>
      <c r="G74" s="29"/>
    </row>
    <row r="75" spans="1:7" s="12" customFormat="1" ht="26.25" thickBot="1" x14ac:dyDescent="0.3">
      <c r="A75" s="44" t="s">
        <v>32</v>
      </c>
      <c r="B75" s="24" t="s">
        <v>96</v>
      </c>
      <c r="C75" s="369" t="s">
        <v>30</v>
      </c>
      <c r="D75" s="370"/>
      <c r="E75" s="28"/>
      <c r="F75" s="193" t="s">
        <v>474</v>
      </c>
      <c r="G75" s="28"/>
    </row>
    <row r="76" spans="1:7" s="12" customFormat="1" ht="39.6" customHeight="1" thickBot="1" x14ac:dyDescent="0.3">
      <c r="A76" s="44" t="s">
        <v>56</v>
      </c>
      <c r="B76" s="24" t="s">
        <v>167</v>
      </c>
      <c r="C76" s="357"/>
      <c r="D76" s="358"/>
      <c r="E76" s="29"/>
      <c r="F76" s="193"/>
      <c r="G76" s="29"/>
    </row>
    <row r="77" spans="1:7" s="12" customFormat="1" ht="27" customHeight="1" thickBot="1" x14ac:dyDescent="0.3">
      <c r="A77" s="44" t="s">
        <v>48</v>
      </c>
      <c r="B77" s="24" t="s">
        <v>47</v>
      </c>
      <c r="C77" s="357"/>
      <c r="D77" s="358"/>
      <c r="E77" s="29"/>
      <c r="F77" s="193"/>
      <c r="G77" s="29"/>
    </row>
    <row r="78" spans="1:7" s="12" customFormat="1" ht="27.6" customHeight="1" thickBot="1" x14ac:dyDescent="0.3">
      <c r="A78" s="44" t="s">
        <v>49</v>
      </c>
      <c r="B78" s="24" t="s">
        <v>103</v>
      </c>
      <c r="C78" s="357"/>
      <c r="D78" s="358"/>
      <c r="E78" s="29"/>
      <c r="F78" s="193"/>
      <c r="G78" s="29"/>
    </row>
    <row r="79" spans="1:7" s="12" customFormat="1" ht="29.45" customHeight="1" thickBot="1" x14ac:dyDescent="0.3">
      <c r="A79" s="44" t="s">
        <v>46</v>
      </c>
      <c r="B79" s="24" t="s">
        <v>319</v>
      </c>
      <c r="C79" s="357"/>
      <c r="D79" s="358"/>
      <c r="E79" s="29"/>
      <c r="F79" s="193"/>
      <c r="G79" s="29"/>
    </row>
    <row r="80" spans="1:7" ht="13.5" thickBot="1" x14ac:dyDescent="0.25"/>
    <row r="81" spans="1:6" s="15" customFormat="1" ht="18" customHeight="1" thickBot="1" x14ac:dyDescent="0.3">
      <c r="A81" s="362" t="s">
        <v>168</v>
      </c>
      <c r="B81" s="363"/>
      <c r="C81" s="363"/>
      <c r="D81" s="364"/>
      <c r="E81" s="32"/>
      <c r="F81" s="217" t="s">
        <v>337</v>
      </c>
    </row>
    <row r="82" spans="1:6" s="3" customFormat="1" ht="15" customHeight="1" thickBot="1" x14ac:dyDescent="0.3">
      <c r="A82" s="371" t="s">
        <v>169</v>
      </c>
      <c r="B82" s="372"/>
      <c r="C82" s="372"/>
      <c r="D82" s="373"/>
      <c r="E82" s="33"/>
      <c r="F82" s="246" t="s">
        <v>19</v>
      </c>
    </row>
    <row r="83" spans="1:6" s="12" customFormat="1" ht="12.75" customHeight="1" x14ac:dyDescent="0.25">
      <c r="A83" s="374" t="s">
        <v>83</v>
      </c>
      <c r="B83" s="375"/>
      <c r="C83" s="375"/>
      <c r="D83" s="376"/>
      <c r="E83" s="29"/>
      <c r="F83" s="251">
        <f>-1010*('PPI Adj'!D6)</f>
        <v>-1178.67</v>
      </c>
    </row>
    <row r="84" spans="1:6" s="12" customFormat="1" ht="12.75" customHeight="1" x14ac:dyDescent="0.25">
      <c r="A84" s="377" t="s">
        <v>34</v>
      </c>
      <c r="B84" s="378"/>
      <c r="C84" s="378"/>
      <c r="D84" s="379"/>
      <c r="E84" s="28"/>
      <c r="F84" s="252">
        <f>678*('PPI Adj'!D6)</f>
        <v>791.226</v>
      </c>
    </row>
    <row r="85" spans="1:6" s="12" customFormat="1" x14ac:dyDescent="0.25">
      <c r="A85" s="377" t="s">
        <v>35</v>
      </c>
      <c r="B85" s="378"/>
      <c r="C85" s="378"/>
      <c r="D85" s="379"/>
      <c r="E85" s="29"/>
      <c r="F85" s="252">
        <f>457*('PPI Adj'!D6)</f>
        <v>533.31900000000007</v>
      </c>
    </row>
    <row r="86" spans="1:6" s="12" customFormat="1" x14ac:dyDescent="0.25">
      <c r="A86" s="377" t="s">
        <v>36</v>
      </c>
      <c r="B86" s="378"/>
      <c r="C86" s="378"/>
      <c r="D86" s="379"/>
      <c r="E86" s="28"/>
      <c r="F86" s="252">
        <f>738*('PPI Adj'!D6)</f>
        <v>861.24599999999998</v>
      </c>
    </row>
    <row r="87" spans="1:6" s="12" customFormat="1" x14ac:dyDescent="0.25">
      <c r="A87" s="377" t="s">
        <v>60</v>
      </c>
      <c r="B87" s="378"/>
      <c r="C87" s="378"/>
      <c r="D87" s="379"/>
      <c r="E87" s="28"/>
      <c r="F87" s="252">
        <f>95*('PPI Adj'!D6)</f>
        <v>110.86500000000001</v>
      </c>
    </row>
    <row r="88" spans="1:6" s="12" customFormat="1" x14ac:dyDescent="0.25">
      <c r="A88" s="377" t="s">
        <v>61</v>
      </c>
      <c r="B88" s="378"/>
      <c r="C88" s="378"/>
      <c r="D88" s="379"/>
      <c r="E88" s="28"/>
      <c r="F88" s="252">
        <f>386*('PPI Adj'!D6)</f>
        <v>450.46199999999999</v>
      </c>
    </row>
    <row r="89" spans="1:6" s="12" customFormat="1" ht="12.75" customHeight="1" x14ac:dyDescent="0.25">
      <c r="A89" s="377" t="s">
        <v>86</v>
      </c>
      <c r="B89" s="378"/>
      <c r="C89" s="378"/>
      <c r="D89" s="379"/>
      <c r="E89" s="28"/>
      <c r="F89" s="252">
        <f>856*('PPI Adj'!D6)</f>
        <v>998.952</v>
      </c>
    </row>
    <row r="90" spans="1:6" ht="12.75" customHeight="1" x14ac:dyDescent="0.2">
      <c r="A90" s="377" t="s">
        <v>85</v>
      </c>
      <c r="B90" s="378"/>
      <c r="C90" s="378"/>
      <c r="D90" s="379"/>
      <c r="E90" s="28"/>
      <c r="F90" s="252">
        <f>7550.4*('PPI Adj'!D6)</f>
        <v>8811.3168000000005</v>
      </c>
    </row>
    <row r="91" spans="1:6" x14ac:dyDescent="0.2">
      <c r="A91" s="377" t="s">
        <v>13</v>
      </c>
      <c r="B91" s="378"/>
      <c r="C91" s="378"/>
      <c r="D91" s="379"/>
      <c r="E91" s="28"/>
      <c r="F91" s="252">
        <f>10801*('PPI Adj'!D6)</f>
        <v>12604.767</v>
      </c>
    </row>
    <row r="92" spans="1:6" ht="12.75" customHeight="1" x14ac:dyDescent="0.2">
      <c r="A92" s="377" t="s">
        <v>37</v>
      </c>
      <c r="B92" s="378"/>
      <c r="C92" s="378"/>
      <c r="D92" s="379"/>
      <c r="E92" s="29"/>
      <c r="F92" s="252">
        <f>1000*('PPI Adj'!D6)</f>
        <v>1167</v>
      </c>
    </row>
    <row r="93" spans="1:6" x14ac:dyDescent="0.2">
      <c r="A93" s="377" t="s">
        <v>38</v>
      </c>
      <c r="B93" s="378"/>
      <c r="C93" s="378"/>
      <c r="D93" s="379"/>
      <c r="E93" s="29"/>
      <c r="F93" s="252">
        <f>787*('PPI Adj'!D6)</f>
        <v>918.42899999999997</v>
      </c>
    </row>
    <row r="94" spans="1:6" x14ac:dyDescent="0.2">
      <c r="A94" s="377" t="s">
        <v>201</v>
      </c>
      <c r="B94" s="378"/>
      <c r="C94" s="378"/>
      <c r="D94" s="379"/>
      <c r="E94" s="29"/>
      <c r="F94" s="252" t="s">
        <v>183</v>
      </c>
    </row>
    <row r="95" spans="1:6" x14ac:dyDescent="0.2">
      <c r="A95" s="377" t="s">
        <v>39</v>
      </c>
      <c r="B95" s="378"/>
      <c r="C95" s="378"/>
      <c r="D95" s="379"/>
      <c r="E95" s="28"/>
      <c r="F95" s="252">
        <f>678*('PPI Adj'!D6)</f>
        <v>791.226</v>
      </c>
    </row>
    <row r="96" spans="1:6" ht="12.75" customHeight="1" x14ac:dyDescent="0.2">
      <c r="A96" s="377" t="s">
        <v>88</v>
      </c>
      <c r="B96" s="378"/>
      <c r="C96" s="378"/>
      <c r="D96" s="379"/>
      <c r="E96" s="28"/>
      <c r="F96" s="252">
        <f>4245*('PPI Adj'!D6)</f>
        <v>4953.915</v>
      </c>
    </row>
    <row r="97" spans="1:6" x14ac:dyDescent="0.2">
      <c r="A97" s="377" t="s">
        <v>40</v>
      </c>
      <c r="B97" s="378"/>
      <c r="C97" s="378"/>
      <c r="D97" s="379"/>
      <c r="E97" s="28"/>
      <c r="F97" s="252">
        <f>225*('PPI Adj'!D6)</f>
        <v>262.57499999999999</v>
      </c>
    </row>
    <row r="98" spans="1:6" x14ac:dyDescent="0.2">
      <c r="A98" s="377" t="s">
        <v>14</v>
      </c>
      <c r="B98" s="378"/>
      <c r="C98" s="378"/>
      <c r="D98" s="379"/>
      <c r="E98" s="28"/>
      <c r="F98" s="252">
        <f>9538.02*('PPI Adj'!D6)</f>
        <v>11130.869340000001</v>
      </c>
    </row>
    <row r="99" spans="1:6" ht="12.75" customHeight="1" x14ac:dyDescent="0.2">
      <c r="A99" s="377" t="s">
        <v>91</v>
      </c>
      <c r="B99" s="378"/>
      <c r="C99" s="378"/>
      <c r="D99" s="379"/>
      <c r="E99" s="28"/>
      <c r="F99" s="252">
        <f>1971*('PPI Adj'!D6)</f>
        <v>2300.1570000000002</v>
      </c>
    </row>
    <row r="100" spans="1:6" x14ac:dyDescent="0.2">
      <c r="A100" s="383" t="s">
        <v>272</v>
      </c>
      <c r="B100" s="384"/>
      <c r="C100" s="384"/>
      <c r="D100" s="385"/>
      <c r="E100" s="28"/>
      <c r="F100" s="253">
        <f>-1036*('PPI Adj'!D6)</f>
        <v>-1209.0119999999999</v>
      </c>
    </row>
    <row r="101" spans="1:6" ht="13.5" customHeight="1" thickBot="1" x14ac:dyDescent="0.25">
      <c r="A101" s="380" t="s">
        <v>92</v>
      </c>
      <c r="B101" s="381"/>
      <c r="C101" s="381"/>
      <c r="D101" s="382"/>
      <c r="E101" s="29"/>
      <c r="F101" s="254">
        <f>-2023*('PPI Adj'!D6)</f>
        <v>-2360.8409999999999</v>
      </c>
    </row>
    <row r="102" spans="1:6" ht="13.5" thickBot="1" x14ac:dyDescent="0.25"/>
    <row r="103" spans="1:6" s="15" customFormat="1" ht="18" customHeight="1" thickBot="1" x14ac:dyDescent="0.3">
      <c r="A103" s="362" t="s">
        <v>166</v>
      </c>
      <c r="B103" s="363"/>
      <c r="C103" s="363"/>
      <c r="D103" s="364"/>
      <c r="E103" s="32"/>
      <c r="F103" s="217" t="s">
        <v>337</v>
      </c>
    </row>
    <row r="104" spans="1:6" s="3" customFormat="1" ht="15" customHeight="1" thickBot="1" x14ac:dyDescent="0.3">
      <c r="A104" s="46" t="s">
        <v>33</v>
      </c>
      <c r="B104" s="18" t="s">
        <v>7</v>
      </c>
      <c r="C104" s="386" t="s">
        <v>165</v>
      </c>
      <c r="D104" s="387"/>
      <c r="E104" s="33"/>
      <c r="F104" s="246" t="s">
        <v>19</v>
      </c>
    </row>
    <row r="105" spans="1:6" s="12" customFormat="1" ht="41.1" customHeight="1" thickBot="1" x14ac:dyDescent="0.3">
      <c r="A105" s="47" t="s">
        <v>83</v>
      </c>
      <c r="B105" s="17" t="s">
        <v>146</v>
      </c>
      <c r="C105" s="388"/>
      <c r="D105" s="389"/>
      <c r="E105" s="29"/>
      <c r="F105" s="193"/>
    </row>
    <row r="106" spans="1:6" s="12" customFormat="1" ht="26.25" thickBot="1" x14ac:dyDescent="0.3">
      <c r="A106" s="44" t="s">
        <v>34</v>
      </c>
      <c r="B106" s="24" t="s">
        <v>107</v>
      </c>
      <c r="C106" s="369" t="s">
        <v>30</v>
      </c>
      <c r="D106" s="370"/>
      <c r="E106" s="28"/>
      <c r="F106" s="193" t="s">
        <v>352</v>
      </c>
    </row>
    <row r="107" spans="1:6" s="12" customFormat="1" ht="56.1" customHeight="1" thickBot="1" x14ac:dyDescent="0.3">
      <c r="A107" s="44" t="s">
        <v>35</v>
      </c>
      <c r="B107" s="24" t="s">
        <v>97</v>
      </c>
      <c r="C107" s="357"/>
      <c r="D107" s="358"/>
      <c r="E107" s="29"/>
      <c r="F107" s="193"/>
    </row>
    <row r="108" spans="1:6" s="12" customFormat="1" ht="27.95" customHeight="1" thickBot="1" x14ac:dyDescent="0.3">
      <c r="A108" s="44" t="s">
        <v>36</v>
      </c>
      <c r="B108" s="24" t="s">
        <v>84</v>
      </c>
      <c r="C108" s="369" t="s">
        <v>99</v>
      </c>
      <c r="D108" s="370"/>
      <c r="E108" s="28"/>
      <c r="F108" s="193" t="s">
        <v>413</v>
      </c>
    </row>
    <row r="109" spans="1:6" s="12" customFormat="1" ht="12.75" customHeight="1" x14ac:dyDescent="0.25">
      <c r="A109" s="343" t="s">
        <v>60</v>
      </c>
      <c r="B109" s="345" t="s">
        <v>133</v>
      </c>
      <c r="C109" s="347" t="s">
        <v>203</v>
      </c>
      <c r="D109" s="348"/>
      <c r="E109" s="28"/>
      <c r="F109" s="192" t="s">
        <v>416</v>
      </c>
    </row>
    <row r="110" spans="1:6" s="12" customFormat="1" x14ac:dyDescent="0.25">
      <c r="A110" s="351"/>
      <c r="B110" s="352"/>
      <c r="C110" s="353" t="s">
        <v>202</v>
      </c>
      <c r="D110" s="354"/>
      <c r="E110" s="28"/>
      <c r="F110" s="180">
        <v>6005</v>
      </c>
    </row>
    <row r="111" spans="1:6" s="12" customFormat="1" x14ac:dyDescent="0.25">
      <c r="A111" s="351"/>
      <c r="B111" s="352"/>
      <c r="C111" s="353" t="s">
        <v>114</v>
      </c>
      <c r="D111" s="354"/>
      <c r="E111" s="28"/>
      <c r="F111" s="180" t="s">
        <v>488</v>
      </c>
    </row>
    <row r="112" spans="1:6" s="12" customFormat="1" ht="30.75" customHeight="1" thickBot="1" x14ac:dyDescent="0.3">
      <c r="A112" s="344"/>
      <c r="B112" s="346"/>
      <c r="C112" s="341" t="s">
        <v>115</v>
      </c>
      <c r="D112" s="342"/>
      <c r="E112" s="28"/>
      <c r="F112" s="184" t="s">
        <v>476</v>
      </c>
    </row>
    <row r="113" spans="1:6" s="12" customFormat="1" ht="12.75" customHeight="1" x14ac:dyDescent="0.25">
      <c r="A113" s="343" t="s">
        <v>61</v>
      </c>
      <c r="B113" s="345" t="s">
        <v>206</v>
      </c>
      <c r="C113" s="347" t="s">
        <v>205</v>
      </c>
      <c r="D113" s="348"/>
      <c r="E113" s="28"/>
      <c r="F113" s="192" t="s">
        <v>477</v>
      </c>
    </row>
    <row r="114" spans="1:6" s="12" customFormat="1" x14ac:dyDescent="0.25">
      <c r="A114" s="351"/>
      <c r="B114" s="352"/>
      <c r="C114" s="353" t="s">
        <v>204</v>
      </c>
      <c r="D114" s="354"/>
      <c r="E114" s="28"/>
      <c r="F114" s="209">
        <v>6610</v>
      </c>
    </row>
    <row r="115" spans="1:6" s="12" customFormat="1" x14ac:dyDescent="0.25">
      <c r="A115" s="351"/>
      <c r="B115" s="352"/>
      <c r="C115" s="353" t="s">
        <v>203</v>
      </c>
      <c r="D115" s="354"/>
      <c r="E115" s="28"/>
      <c r="F115" s="209" t="s">
        <v>477</v>
      </c>
    </row>
    <row r="116" spans="1:6" s="12" customFormat="1" x14ac:dyDescent="0.25">
      <c r="A116" s="351"/>
      <c r="B116" s="352"/>
      <c r="C116" s="353" t="s">
        <v>202</v>
      </c>
      <c r="D116" s="354"/>
      <c r="E116" s="28"/>
      <c r="F116" s="180">
        <v>6005</v>
      </c>
    </row>
    <row r="117" spans="1:6" s="12" customFormat="1" x14ac:dyDescent="0.25">
      <c r="A117" s="351"/>
      <c r="B117" s="352"/>
      <c r="C117" s="353" t="s">
        <v>112</v>
      </c>
      <c r="D117" s="354"/>
      <c r="E117" s="28"/>
      <c r="F117" s="180" t="s">
        <v>478</v>
      </c>
    </row>
    <row r="118" spans="1:6" s="12" customFormat="1" x14ac:dyDescent="0.25">
      <c r="A118" s="351"/>
      <c r="B118" s="352"/>
      <c r="C118" s="353" t="s">
        <v>113</v>
      </c>
      <c r="D118" s="354"/>
      <c r="E118" s="28"/>
      <c r="F118" s="209" t="s">
        <v>418</v>
      </c>
    </row>
    <row r="119" spans="1:6" s="12" customFormat="1" x14ac:dyDescent="0.25">
      <c r="A119" s="351"/>
      <c r="B119" s="352"/>
      <c r="C119" s="353" t="s">
        <v>114</v>
      </c>
      <c r="D119" s="354"/>
      <c r="E119" s="28"/>
      <c r="F119" s="209" t="s">
        <v>478</v>
      </c>
    </row>
    <row r="120" spans="1:6" s="12" customFormat="1" ht="13.5" thickBot="1" x14ac:dyDescent="0.3">
      <c r="A120" s="344"/>
      <c r="B120" s="346"/>
      <c r="C120" s="341" t="s">
        <v>115</v>
      </c>
      <c r="D120" s="342"/>
      <c r="E120" s="28"/>
      <c r="F120" s="184" t="s">
        <v>418</v>
      </c>
    </row>
    <row r="121" spans="1:6" s="12" customFormat="1" ht="143.44999999999999" customHeight="1" thickBot="1" x14ac:dyDescent="0.3">
      <c r="A121" s="48" t="s">
        <v>86</v>
      </c>
      <c r="B121" s="16" t="s">
        <v>143</v>
      </c>
      <c r="C121" s="369" t="s">
        <v>104</v>
      </c>
      <c r="D121" s="370"/>
      <c r="E121" s="28"/>
      <c r="F121" s="192" t="s">
        <v>479</v>
      </c>
    </row>
    <row r="122" spans="1:6" ht="168.95" customHeight="1" thickBot="1" x14ac:dyDescent="0.25">
      <c r="A122" s="44" t="s">
        <v>85</v>
      </c>
      <c r="B122" s="13" t="s">
        <v>170</v>
      </c>
      <c r="C122" s="369" t="s">
        <v>104</v>
      </c>
      <c r="D122" s="370"/>
      <c r="E122" s="28"/>
      <c r="F122" s="193" t="s">
        <v>480</v>
      </c>
    </row>
    <row r="123" spans="1:6" x14ac:dyDescent="0.2">
      <c r="A123" s="343" t="s">
        <v>13</v>
      </c>
      <c r="B123" s="345" t="s">
        <v>98</v>
      </c>
      <c r="C123" s="347" t="s">
        <v>30</v>
      </c>
      <c r="D123" s="348"/>
      <c r="E123" s="28"/>
      <c r="F123" s="192" t="s">
        <v>361</v>
      </c>
    </row>
    <row r="124" spans="1:6" ht="30.6" customHeight="1" thickBot="1" x14ac:dyDescent="0.25">
      <c r="A124" s="344"/>
      <c r="B124" s="346"/>
      <c r="C124" s="341" t="s">
        <v>109</v>
      </c>
      <c r="D124" s="342"/>
      <c r="E124" s="28"/>
      <c r="F124" s="184" t="s">
        <v>362</v>
      </c>
    </row>
    <row r="125" spans="1:6" ht="66" customHeight="1" thickBot="1" x14ac:dyDescent="0.25">
      <c r="A125" s="44" t="s">
        <v>37</v>
      </c>
      <c r="B125" s="24" t="s">
        <v>135</v>
      </c>
      <c r="C125" s="357"/>
      <c r="D125" s="358"/>
      <c r="E125" s="29"/>
      <c r="F125" s="193" t="s">
        <v>378</v>
      </c>
    </row>
    <row r="126" spans="1:6" ht="42.95" customHeight="1" thickBot="1" x14ac:dyDescent="0.25">
      <c r="A126" s="44" t="s">
        <v>38</v>
      </c>
      <c r="B126" s="24" t="s">
        <v>87</v>
      </c>
      <c r="C126" s="357"/>
      <c r="D126" s="358"/>
      <c r="E126" s="29"/>
      <c r="F126" s="193"/>
    </row>
    <row r="127" spans="1:6" ht="17.100000000000001" customHeight="1" thickBot="1" x14ac:dyDescent="0.25">
      <c r="A127" s="44" t="s">
        <v>201</v>
      </c>
      <c r="B127" s="24" t="s">
        <v>200</v>
      </c>
      <c r="C127" s="369"/>
      <c r="D127" s="370"/>
      <c r="E127" s="28"/>
      <c r="F127" s="193"/>
    </row>
    <row r="128" spans="1:6" ht="29.45" customHeight="1" thickBot="1" x14ac:dyDescent="0.25">
      <c r="A128" s="44" t="s">
        <v>39</v>
      </c>
      <c r="B128" s="24" t="s">
        <v>106</v>
      </c>
      <c r="C128" s="369" t="s">
        <v>105</v>
      </c>
      <c r="D128" s="370"/>
      <c r="E128" s="28"/>
      <c r="F128" s="193" t="s">
        <v>324</v>
      </c>
    </row>
    <row r="129" spans="1:6" x14ac:dyDescent="0.2">
      <c r="A129" s="343" t="s">
        <v>88</v>
      </c>
      <c r="B129" s="345" t="s">
        <v>148</v>
      </c>
      <c r="C129" s="347" t="s">
        <v>100</v>
      </c>
      <c r="D129" s="348"/>
      <c r="E129" s="28"/>
      <c r="F129" s="192" t="s">
        <v>423</v>
      </c>
    </row>
    <row r="130" spans="1:6" ht="108" customHeight="1" thickBot="1" x14ac:dyDescent="0.25">
      <c r="A130" s="344"/>
      <c r="B130" s="346"/>
      <c r="C130" s="341" t="s">
        <v>110</v>
      </c>
      <c r="D130" s="342"/>
      <c r="E130" s="28"/>
      <c r="F130" s="255" t="s">
        <v>438</v>
      </c>
    </row>
    <row r="131" spans="1:6" ht="26.25" thickBot="1" x14ac:dyDescent="0.25">
      <c r="A131" s="44" t="s">
        <v>40</v>
      </c>
      <c r="B131" s="24" t="s">
        <v>137</v>
      </c>
      <c r="C131" s="369" t="s">
        <v>100</v>
      </c>
      <c r="D131" s="370"/>
      <c r="E131" s="28"/>
      <c r="F131" s="184" t="s">
        <v>363</v>
      </c>
    </row>
    <row r="132" spans="1:6" ht="54.6" customHeight="1" thickBot="1" x14ac:dyDescent="0.25">
      <c r="A132" s="44" t="s">
        <v>14</v>
      </c>
      <c r="B132" s="24" t="s">
        <v>138</v>
      </c>
      <c r="C132" s="369" t="s">
        <v>139</v>
      </c>
      <c r="D132" s="370"/>
      <c r="E132" s="28"/>
      <c r="F132" s="193">
        <v>2</v>
      </c>
    </row>
    <row r="133" spans="1:6" ht="65.45" customHeight="1" thickBot="1" x14ac:dyDescent="0.25">
      <c r="A133" s="44" t="s">
        <v>91</v>
      </c>
      <c r="B133" s="24" t="s">
        <v>144</v>
      </c>
      <c r="C133" s="369" t="s">
        <v>100</v>
      </c>
      <c r="D133" s="370"/>
      <c r="E133" s="28"/>
      <c r="F133" s="193" t="s">
        <v>364</v>
      </c>
    </row>
    <row r="134" spans="1:6" ht="67.5" customHeight="1" thickBot="1" x14ac:dyDescent="0.25">
      <c r="A134" s="44" t="s">
        <v>92</v>
      </c>
      <c r="B134" s="24" t="s">
        <v>145</v>
      </c>
      <c r="C134" s="357"/>
      <c r="D134" s="358"/>
      <c r="E134" s="29"/>
      <c r="F134" s="193"/>
    </row>
  </sheetData>
  <sheetProtection algorithmName="SHA-512" hashValue="y1p2IWHA4kxKa+Pz0Hho+jpTpHFGDlzrTD4PzaEbP5XkbUW3xJHd+1+3Kg1qo2D3YqSLQtsSBgTWKLiX6jpDqA==" saltValue="zuSfgAI9SAl1qd/mDTi9RQ==" spinCount="100000" sheet="1" objects="1" scenarios="1"/>
  <dataConsolidate/>
  <mergeCells count="153">
    <mergeCell ref="C26:D26"/>
    <mergeCell ref="A27:A28"/>
    <mergeCell ref="B27:B28"/>
    <mergeCell ref="C27:D27"/>
    <mergeCell ref="B13:D13"/>
    <mergeCell ref="B14:D14"/>
    <mergeCell ref="B15:D15"/>
    <mergeCell ref="B16:D16"/>
    <mergeCell ref="B17:D17"/>
    <mergeCell ref="A19:D19"/>
    <mergeCell ref="B21:D21"/>
    <mergeCell ref="B22:D22"/>
    <mergeCell ref="A24:D24"/>
    <mergeCell ref="C28:D28"/>
    <mergeCell ref="B9:D9"/>
    <mergeCell ref="B10:D10"/>
    <mergeCell ref="B11:D11"/>
    <mergeCell ref="B12:D12"/>
    <mergeCell ref="A3:D3"/>
    <mergeCell ref="A4:D4"/>
    <mergeCell ref="A6:D6"/>
    <mergeCell ref="B8:D8"/>
    <mergeCell ref="C25:D25"/>
    <mergeCell ref="C29:D29"/>
    <mergeCell ref="A30:A34"/>
    <mergeCell ref="B30:B34"/>
    <mergeCell ref="C30:D30"/>
    <mergeCell ref="C31:D31"/>
    <mergeCell ref="C32:D32"/>
    <mergeCell ref="C33:D33"/>
    <mergeCell ref="C34:D34"/>
    <mergeCell ref="A35:A36"/>
    <mergeCell ref="B35:B36"/>
    <mergeCell ref="C35:D35"/>
    <mergeCell ref="C36:D36"/>
    <mergeCell ref="A37:A38"/>
    <mergeCell ref="B37:B38"/>
    <mergeCell ref="C37:D37"/>
    <mergeCell ref="C38:D38"/>
    <mergeCell ref="C39:D39"/>
    <mergeCell ref="A40:A42"/>
    <mergeCell ref="B40:B42"/>
    <mergeCell ref="C40:D40"/>
    <mergeCell ref="C41:D41"/>
    <mergeCell ref="C42:D42"/>
    <mergeCell ref="C43:D43"/>
    <mergeCell ref="A44:A51"/>
    <mergeCell ref="B44:B51"/>
    <mergeCell ref="C44:D44"/>
    <mergeCell ref="C45:D45"/>
    <mergeCell ref="C46:D46"/>
    <mergeCell ref="C47:D47"/>
    <mergeCell ref="C48:D48"/>
    <mergeCell ref="C49:D49"/>
    <mergeCell ref="C50:D50"/>
    <mergeCell ref="C51:D51"/>
    <mergeCell ref="A52:A54"/>
    <mergeCell ref="B52:B54"/>
    <mergeCell ref="C52:D52"/>
    <mergeCell ref="C53:D53"/>
    <mergeCell ref="C54:D54"/>
    <mergeCell ref="C55:D55"/>
    <mergeCell ref="C56:D56"/>
    <mergeCell ref="A57:A58"/>
    <mergeCell ref="B57:B58"/>
    <mergeCell ref="C57:D57"/>
    <mergeCell ref="C58:D58"/>
    <mergeCell ref="A59:A61"/>
    <mergeCell ref="B59:B61"/>
    <mergeCell ref="C59:D59"/>
    <mergeCell ref="C60:D60"/>
    <mergeCell ref="C61:D61"/>
    <mergeCell ref="C62:D62"/>
    <mergeCell ref="C63:D63"/>
    <mergeCell ref="C64:D64"/>
    <mergeCell ref="C65:D65"/>
    <mergeCell ref="C66:D66"/>
    <mergeCell ref="C67:D67"/>
    <mergeCell ref="A68:A69"/>
    <mergeCell ref="B68:B69"/>
    <mergeCell ref="C68:D68"/>
    <mergeCell ref="C69:D69"/>
    <mergeCell ref="C70:D70"/>
    <mergeCell ref="C71:D71"/>
    <mergeCell ref="C72:D72"/>
    <mergeCell ref="C73:D73"/>
    <mergeCell ref="C74:D74"/>
    <mergeCell ref="C75:D75"/>
    <mergeCell ref="C76:D76"/>
    <mergeCell ref="C77:D77"/>
    <mergeCell ref="C78:D78"/>
    <mergeCell ref="C79:D79"/>
    <mergeCell ref="A81:D81"/>
    <mergeCell ref="A82:D82"/>
    <mergeCell ref="A83:D83"/>
    <mergeCell ref="A84:D84"/>
    <mergeCell ref="A85:D85"/>
    <mergeCell ref="A86:D86"/>
    <mergeCell ref="A87:D87"/>
    <mergeCell ref="A88:D88"/>
    <mergeCell ref="A89:D89"/>
    <mergeCell ref="A90:D90"/>
    <mergeCell ref="A91:D91"/>
    <mergeCell ref="A92:D92"/>
    <mergeCell ref="A93:D93"/>
    <mergeCell ref="A94:D94"/>
    <mergeCell ref="A95:D95"/>
    <mergeCell ref="A96:D96"/>
    <mergeCell ref="A97:D97"/>
    <mergeCell ref="A98:D98"/>
    <mergeCell ref="A99:D99"/>
    <mergeCell ref="A101:D101"/>
    <mergeCell ref="A100:D100"/>
    <mergeCell ref="A103:D103"/>
    <mergeCell ref="C104:D104"/>
    <mergeCell ref="C105:D105"/>
    <mergeCell ref="C106:D106"/>
    <mergeCell ref="C107:D107"/>
    <mergeCell ref="C108:D108"/>
    <mergeCell ref="A109:A112"/>
    <mergeCell ref="B109:B112"/>
    <mergeCell ref="C109:D109"/>
    <mergeCell ref="C110:D110"/>
    <mergeCell ref="C111:D111"/>
    <mergeCell ref="C112:D112"/>
    <mergeCell ref="C121:D121"/>
    <mergeCell ref="C122:D122"/>
    <mergeCell ref="A123:A124"/>
    <mergeCell ref="B123:B124"/>
    <mergeCell ref="C123:D123"/>
    <mergeCell ref="C124:D124"/>
    <mergeCell ref="A113:A120"/>
    <mergeCell ref="B113:B120"/>
    <mergeCell ref="C113:D113"/>
    <mergeCell ref="C114:D114"/>
    <mergeCell ref="C115:D115"/>
    <mergeCell ref="C116:D116"/>
    <mergeCell ref="C117:D117"/>
    <mergeCell ref="C118:D118"/>
    <mergeCell ref="C119:D119"/>
    <mergeCell ref="C120:D120"/>
    <mergeCell ref="C131:D131"/>
    <mergeCell ref="C132:D132"/>
    <mergeCell ref="C133:D133"/>
    <mergeCell ref="C134:D134"/>
    <mergeCell ref="C125:D125"/>
    <mergeCell ref="C126:D126"/>
    <mergeCell ref="C127:D127"/>
    <mergeCell ref="C128:D128"/>
    <mergeCell ref="A129:A130"/>
    <mergeCell ref="B129:B130"/>
    <mergeCell ref="C129:D129"/>
    <mergeCell ref="C130:D130"/>
  </mergeCells>
  <conditionalFormatting sqref="C55 C64">
    <cfRule type="expression" dxfId="19" priority="63">
      <formula>#REF!="NO"</formula>
    </cfRule>
  </conditionalFormatting>
  <conditionalFormatting sqref="C40:D42">
    <cfRule type="expression" dxfId="18" priority="18">
      <formula>$F$2="NO"</formula>
    </cfRule>
  </conditionalFormatting>
  <conditionalFormatting sqref="C26:E39">
    <cfRule type="expression" dxfId="17" priority="64">
      <formula>#REF!="NO"</formula>
    </cfRule>
  </conditionalFormatting>
  <conditionalFormatting sqref="C43:E79">
    <cfRule type="expression" dxfId="16" priority="17">
      <formula>#REF!="NO"</formula>
    </cfRule>
  </conditionalFormatting>
  <conditionalFormatting sqref="C105:F134">
    <cfRule type="expression" dxfId="15" priority="23">
      <formula>#REF!="NO"</formula>
    </cfRule>
  </conditionalFormatting>
  <conditionalFormatting sqref="E40:E42">
    <cfRule type="expression" dxfId="14" priority="22">
      <formula>#REF!="NO"</formula>
    </cfRule>
  </conditionalFormatting>
  <conditionalFormatting sqref="E83:F101">
    <cfRule type="expression" dxfId="13" priority="1">
      <formula>#REF!="NO"</formula>
    </cfRule>
  </conditionalFormatting>
  <conditionalFormatting sqref="F8:F17">
    <cfRule type="expression" dxfId="12" priority="60">
      <formula>#REF!="NO"</formula>
    </cfRule>
  </conditionalFormatting>
  <conditionalFormatting sqref="F21:F22">
    <cfRule type="expression" dxfId="11" priority="61">
      <formula>#REF!="NO"</formula>
    </cfRule>
  </conditionalFormatting>
  <conditionalFormatting sqref="F26:G79">
    <cfRule type="expression" dxfId="10" priority="15">
      <formula>#REF!="NO"</formula>
    </cfRule>
  </conditionalFormatting>
  <dataValidations count="3">
    <dataValidation type="decimal" operator="greaterThanOrEqual" allowBlank="1" showInputMessage="1" showErrorMessage="1" error="The Pickup Allowance cannot be a negative number." sqref="F16" xr:uid="{00000000-0002-0000-0C00-000002000000}">
      <formula1>0</formula1>
    </dataValidation>
    <dataValidation type="decimal" allowBlank="1" showInputMessage="1" showErrorMessage="1" error="Invalid Entry - Bidder must enter a value that is greater than $0" sqref="F21" xr:uid="{00000000-0002-0000-0C00-000001000000}">
      <formula1>0</formula1>
      <formula2>9E+21</formula2>
    </dataValidation>
    <dataValidation type="decimal" allowBlank="1" showInputMessage="1" showErrorMessage="1" error="The Additional Options NYS Discount entered must be greater than 0%, or less than or equal to 100%." sqref="F22" xr:uid="{00000000-0002-0000-0C00-000000000000}">
      <formula1>0.01</formula1>
      <formula2>100</formula2>
    </dataValidation>
  </dataValidations>
  <pageMargins left="0.25" right="0.25" top="0.5" bottom="0.25" header="0.3" footer="0.3"/>
  <pageSetup scale="93" fitToHeight="0" orientation="landscape" r:id="rId1"/>
  <rowBreaks count="3" manualBreakCount="3">
    <brk id="28" max="7" man="1"/>
    <brk id="75" max="7" man="1"/>
    <brk id="108" max="7"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8EE25-B38C-468D-B418-3281434C0469}">
  <sheetPr codeName="Sheet15">
    <tabColor theme="8"/>
    <pageSetUpPr autoPageBreaks="0" fitToPage="1"/>
  </sheetPr>
  <dimension ref="A1:H134"/>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7" width="20.7109375" style="250" customWidth="1"/>
    <col min="8" max="8" width="2.7109375" style="2" customWidth="1"/>
    <col min="9" max="16384" width="9.140625" style="2"/>
  </cols>
  <sheetData>
    <row r="1" spans="1:8" ht="18" customHeight="1" x14ac:dyDescent="0.2">
      <c r="A1" s="245" t="str">
        <f>'A (Item 2-G)'!$A$1</f>
        <v>GROUP 40524-23254, SCHOOL BUSES (Statewide)                                                             Attachment 1 - Specifications and Pricing (Revised October 15, 2026)</v>
      </c>
      <c r="F1" s="177"/>
      <c r="G1" s="177"/>
    </row>
    <row r="2" spans="1:8" s="19" customFormat="1" ht="18" customHeight="1" thickBot="1" x14ac:dyDescent="0.3">
      <c r="A2" s="305" t="str">
        <f>'Attachment 1 - Summary'!B2</f>
        <v>PC69862 Matthews Buses, Inc.</v>
      </c>
      <c r="B2" s="20"/>
      <c r="C2" s="20"/>
      <c r="D2" s="20"/>
      <c r="E2" s="20"/>
      <c r="F2" s="273"/>
      <c r="G2" s="273"/>
      <c r="H2" s="20"/>
    </row>
    <row r="3" spans="1:8" ht="24" thickBot="1" x14ac:dyDescent="0.25">
      <c r="A3" s="533" t="s">
        <v>327</v>
      </c>
      <c r="B3" s="534"/>
      <c r="C3" s="534"/>
      <c r="D3" s="535"/>
      <c r="E3" s="8"/>
      <c r="F3" s="274"/>
      <c r="G3" s="274"/>
      <c r="H3" s="8"/>
    </row>
    <row r="4" spans="1:8" ht="51" customHeight="1" thickBot="1" x14ac:dyDescent="0.25">
      <c r="A4" s="329" t="s">
        <v>326</v>
      </c>
      <c r="B4" s="330"/>
      <c r="C4" s="330"/>
      <c r="D4" s="331"/>
      <c r="E4" s="8"/>
      <c r="F4" s="274"/>
      <c r="G4" s="274"/>
      <c r="H4" s="8"/>
    </row>
    <row r="5" spans="1:8" s="4" customFormat="1" ht="11.25" customHeight="1" thickBot="1" x14ac:dyDescent="0.3">
      <c r="A5" s="51"/>
      <c r="B5" s="51"/>
      <c r="C5" s="51"/>
      <c r="D5" s="51"/>
      <c r="E5" s="51"/>
      <c r="F5" s="301"/>
      <c r="G5" s="301"/>
    </row>
    <row r="6" spans="1:8" s="7" customFormat="1" ht="16.5" customHeight="1" thickBot="1" x14ac:dyDescent="0.25">
      <c r="A6" s="335" t="s">
        <v>151</v>
      </c>
      <c r="B6" s="336"/>
      <c r="C6" s="336"/>
      <c r="D6" s="337"/>
      <c r="E6" s="30"/>
      <c r="F6" s="536" t="s">
        <v>337</v>
      </c>
      <c r="G6" s="537"/>
      <c r="H6" s="30"/>
    </row>
    <row r="7" spans="1:8" s="4" customFormat="1" ht="15" customHeight="1" thickBot="1" x14ac:dyDescent="0.3">
      <c r="A7" s="35" t="s">
        <v>6</v>
      </c>
      <c r="B7" s="21" t="s">
        <v>165</v>
      </c>
      <c r="C7" s="26"/>
      <c r="D7" s="34"/>
      <c r="E7" s="31"/>
      <c r="F7" s="246" t="s">
        <v>19</v>
      </c>
      <c r="G7" s="246" t="s">
        <v>432</v>
      </c>
      <c r="H7" s="31"/>
    </row>
    <row r="8" spans="1:8" ht="65.25" thickTop="1" thickBot="1" x14ac:dyDescent="0.25">
      <c r="A8" s="36" t="s">
        <v>9</v>
      </c>
      <c r="B8" s="323" t="s">
        <v>152</v>
      </c>
      <c r="C8" s="324"/>
      <c r="D8" s="325"/>
      <c r="E8" s="12"/>
      <c r="F8" s="178" t="s">
        <v>490</v>
      </c>
      <c r="G8" s="178" t="s">
        <v>501</v>
      </c>
      <c r="H8" s="12"/>
    </row>
    <row r="9" spans="1:8" s="7" customFormat="1" ht="44.25" customHeight="1" thickTop="1" thickBot="1" x14ac:dyDescent="0.25">
      <c r="A9" s="36" t="s">
        <v>136</v>
      </c>
      <c r="B9" s="323" t="s">
        <v>191</v>
      </c>
      <c r="C9" s="324"/>
      <c r="D9" s="325"/>
      <c r="E9" s="12"/>
      <c r="F9" s="178" t="s">
        <v>500</v>
      </c>
      <c r="G9" s="178" t="s">
        <v>500</v>
      </c>
      <c r="H9" s="12"/>
    </row>
    <row r="10" spans="1:8" ht="12.75" customHeight="1" thickTop="1" x14ac:dyDescent="0.2">
      <c r="A10" s="37" t="s">
        <v>0</v>
      </c>
      <c r="B10" s="314" t="s">
        <v>154</v>
      </c>
      <c r="C10" s="315"/>
      <c r="D10" s="316"/>
      <c r="E10" s="12"/>
      <c r="F10" s="180" t="s">
        <v>337</v>
      </c>
      <c r="G10" s="180" t="s">
        <v>337</v>
      </c>
      <c r="H10" s="12"/>
    </row>
    <row r="11" spans="1:8" x14ac:dyDescent="0.2">
      <c r="A11" s="37" t="s">
        <v>1</v>
      </c>
      <c r="B11" s="314" t="s">
        <v>153</v>
      </c>
      <c r="C11" s="315"/>
      <c r="D11" s="316"/>
      <c r="E11" s="12"/>
      <c r="F11" s="180" t="s">
        <v>492</v>
      </c>
      <c r="G11" s="180" t="s">
        <v>492</v>
      </c>
      <c r="H11" s="12"/>
    </row>
    <row r="12" spans="1:8" ht="12.75" customHeight="1" thickBot="1" x14ac:dyDescent="0.25">
      <c r="A12" s="38" t="s">
        <v>2</v>
      </c>
      <c r="B12" s="317" t="s">
        <v>155</v>
      </c>
      <c r="C12" s="318"/>
      <c r="D12" s="319"/>
      <c r="E12" s="12"/>
      <c r="F12" s="181" t="s">
        <v>492</v>
      </c>
      <c r="G12" s="181" t="s">
        <v>492</v>
      </c>
      <c r="H12" s="12"/>
    </row>
    <row r="13" spans="1:8" ht="13.5" thickTop="1" x14ac:dyDescent="0.2">
      <c r="A13" s="37" t="s">
        <v>3</v>
      </c>
      <c r="B13" s="314" t="s">
        <v>157</v>
      </c>
      <c r="C13" s="315"/>
      <c r="D13" s="316"/>
      <c r="E13" s="12"/>
      <c r="F13" s="180" t="s">
        <v>337</v>
      </c>
      <c r="G13" s="180" t="s">
        <v>337</v>
      </c>
      <c r="H13" s="12"/>
    </row>
    <row r="14" spans="1:8" x14ac:dyDescent="0.2">
      <c r="A14" s="37" t="s">
        <v>4</v>
      </c>
      <c r="B14" s="314" t="s">
        <v>156</v>
      </c>
      <c r="C14" s="315"/>
      <c r="D14" s="316"/>
      <c r="E14" s="12"/>
      <c r="F14" s="180" t="s">
        <v>493</v>
      </c>
      <c r="G14" s="180" t="s">
        <v>493</v>
      </c>
      <c r="H14" s="12"/>
    </row>
    <row r="15" spans="1:8" ht="15.75" customHeight="1" thickBot="1" x14ac:dyDescent="0.25">
      <c r="A15" s="39" t="s">
        <v>5</v>
      </c>
      <c r="B15" s="317" t="s">
        <v>158</v>
      </c>
      <c r="C15" s="318"/>
      <c r="D15" s="319"/>
      <c r="E15" s="12"/>
      <c r="F15" s="182" t="s">
        <v>502</v>
      </c>
      <c r="G15" s="182" t="s">
        <v>503</v>
      </c>
      <c r="H15" s="12"/>
    </row>
    <row r="16" spans="1:8" ht="29.25" customHeight="1" thickTop="1" x14ac:dyDescent="0.2">
      <c r="A16" s="37" t="s">
        <v>101</v>
      </c>
      <c r="B16" s="320" t="s">
        <v>160</v>
      </c>
      <c r="C16" s="321"/>
      <c r="D16" s="322"/>
      <c r="E16" s="12"/>
      <c r="F16" s="183">
        <v>100</v>
      </c>
      <c r="G16" s="183"/>
      <c r="H16" s="12"/>
    </row>
    <row r="17" spans="1:8" ht="30.75" customHeight="1" thickBot="1" x14ac:dyDescent="0.25">
      <c r="A17" s="39" t="s">
        <v>43</v>
      </c>
      <c r="B17" s="317" t="s">
        <v>159</v>
      </c>
      <c r="C17" s="318"/>
      <c r="D17" s="319"/>
      <c r="E17" s="12"/>
      <c r="F17" s="182" t="s">
        <v>369</v>
      </c>
      <c r="G17" s="182" t="s">
        <v>369</v>
      </c>
      <c r="H17" s="12"/>
    </row>
    <row r="18" spans="1:8" s="9" customFormat="1" ht="14.25" thickTop="1" thickBot="1" x14ac:dyDescent="0.25">
      <c r="C18" s="10"/>
      <c r="D18" s="10"/>
      <c r="E18" s="10"/>
      <c r="F18" s="185"/>
      <c r="G18" s="185"/>
      <c r="H18" s="10"/>
    </row>
    <row r="19" spans="1:8" s="11" customFormat="1" ht="16.5" customHeight="1" thickBot="1" x14ac:dyDescent="0.25">
      <c r="A19" s="335" t="s">
        <v>150</v>
      </c>
      <c r="B19" s="336"/>
      <c r="C19" s="336"/>
      <c r="D19" s="337"/>
      <c r="E19" s="30"/>
      <c r="F19" s="536" t="s">
        <v>337</v>
      </c>
      <c r="G19" s="537"/>
      <c r="H19" s="30"/>
    </row>
    <row r="20" spans="1:8" s="4" customFormat="1" ht="15" customHeight="1" thickBot="1" x14ac:dyDescent="0.3">
      <c r="A20" s="49" t="s">
        <v>6</v>
      </c>
      <c r="B20" s="25" t="s">
        <v>165</v>
      </c>
      <c r="C20" s="27"/>
      <c r="D20" s="42"/>
      <c r="E20" s="31"/>
      <c r="F20" s="246" t="s">
        <v>19</v>
      </c>
      <c r="G20" s="246" t="s">
        <v>432</v>
      </c>
      <c r="H20" s="31"/>
    </row>
    <row r="21" spans="1:8" ht="56.25" customHeight="1" x14ac:dyDescent="0.2">
      <c r="A21" s="40" t="s">
        <v>42</v>
      </c>
      <c r="B21" s="338" t="s">
        <v>161</v>
      </c>
      <c r="C21" s="339"/>
      <c r="D21" s="340"/>
      <c r="E21" s="12"/>
      <c r="F21" s="247">
        <f>163124.93*('PPI Adj'!D6)</f>
        <v>190366.79331000001</v>
      </c>
      <c r="G21" s="247">
        <f>212335.61*('PPI Adj'!D6)</f>
        <v>247795.65687000001</v>
      </c>
      <c r="H21" s="12"/>
    </row>
    <row r="22" spans="1:8" ht="33" customHeight="1" thickBot="1" x14ac:dyDescent="0.25">
      <c r="A22" s="41" t="s">
        <v>41</v>
      </c>
      <c r="B22" s="359" t="s">
        <v>163</v>
      </c>
      <c r="C22" s="360"/>
      <c r="D22" s="361"/>
      <c r="E22" s="1"/>
      <c r="F22" s="188">
        <v>20</v>
      </c>
      <c r="G22" s="188">
        <v>20</v>
      </c>
      <c r="H22" s="1"/>
    </row>
    <row r="23" spans="1:8" ht="13.5" thickBot="1" x14ac:dyDescent="0.25">
      <c r="A23" s="52"/>
      <c r="B23" s="1"/>
      <c r="C23" s="1"/>
      <c r="D23" s="1"/>
      <c r="E23" s="1"/>
      <c r="F23" s="249"/>
      <c r="G23" s="249"/>
      <c r="H23" s="1"/>
    </row>
    <row r="24" spans="1:8" s="7" customFormat="1" ht="15.75" customHeight="1" thickBot="1" x14ac:dyDescent="0.25">
      <c r="A24" s="362" t="s">
        <v>164</v>
      </c>
      <c r="B24" s="363"/>
      <c r="C24" s="363"/>
      <c r="D24" s="364"/>
      <c r="E24" s="32"/>
      <c r="F24" s="536" t="s">
        <v>337</v>
      </c>
      <c r="G24" s="537"/>
      <c r="H24" s="32"/>
    </row>
    <row r="25" spans="1:8" s="3" customFormat="1" ht="15" customHeight="1" thickBot="1" x14ac:dyDescent="0.3">
      <c r="A25" s="49" t="s">
        <v>6</v>
      </c>
      <c r="B25" s="50" t="s">
        <v>7</v>
      </c>
      <c r="C25" s="365" t="s">
        <v>165</v>
      </c>
      <c r="D25" s="366"/>
      <c r="E25" s="33"/>
      <c r="F25" s="246" t="s">
        <v>19</v>
      </c>
      <c r="G25" s="246" t="s">
        <v>432</v>
      </c>
      <c r="H25" s="33"/>
    </row>
    <row r="26" spans="1:8" s="12" customFormat="1" ht="67.5" customHeight="1" thickBot="1" x14ac:dyDescent="0.3">
      <c r="A26" s="43" t="s">
        <v>8</v>
      </c>
      <c r="B26" s="24" t="s">
        <v>320</v>
      </c>
      <c r="C26" s="341" t="s">
        <v>118</v>
      </c>
      <c r="D26" s="342"/>
      <c r="E26" s="28"/>
      <c r="F26" s="184">
        <v>33000</v>
      </c>
      <c r="G26" s="184">
        <v>33000</v>
      </c>
      <c r="H26" s="28"/>
    </row>
    <row r="27" spans="1:8" s="12" customFormat="1" x14ac:dyDescent="0.25">
      <c r="A27" s="343" t="s">
        <v>21</v>
      </c>
      <c r="B27" s="345" t="s">
        <v>325</v>
      </c>
      <c r="C27" s="347" t="s">
        <v>67</v>
      </c>
      <c r="D27" s="348"/>
      <c r="E27" s="28"/>
      <c r="F27" s="192">
        <v>12</v>
      </c>
      <c r="G27" s="192">
        <v>12</v>
      </c>
      <c r="H27" s="28"/>
    </row>
    <row r="28" spans="1:8" s="12" customFormat="1" ht="13.5" thickBot="1" x14ac:dyDescent="0.3">
      <c r="A28" s="344"/>
      <c r="B28" s="346"/>
      <c r="C28" s="341" t="s">
        <v>68</v>
      </c>
      <c r="D28" s="342"/>
      <c r="E28" s="28"/>
      <c r="F28" s="184">
        <v>72</v>
      </c>
      <c r="G28" s="184">
        <v>72</v>
      </c>
      <c r="H28" s="28"/>
    </row>
    <row r="29" spans="1:8" s="12" customFormat="1" ht="13.5" thickBot="1" x14ac:dyDescent="0.3">
      <c r="A29" s="44" t="s">
        <v>123</v>
      </c>
      <c r="B29" s="24" t="s">
        <v>108</v>
      </c>
      <c r="C29" s="357"/>
      <c r="D29" s="358"/>
      <c r="E29" s="29"/>
      <c r="F29" s="193"/>
      <c r="G29" s="193"/>
      <c r="H29" s="29"/>
    </row>
    <row r="30" spans="1:8" s="12" customFormat="1" x14ac:dyDescent="0.25">
      <c r="A30" s="343" t="s">
        <v>59</v>
      </c>
      <c r="B30" s="345"/>
      <c r="C30" s="347" t="s">
        <v>58</v>
      </c>
      <c r="D30" s="348"/>
      <c r="E30" s="28"/>
      <c r="F30" s="192">
        <v>238</v>
      </c>
      <c r="G30" s="192">
        <v>238</v>
      </c>
      <c r="H30" s="28"/>
    </row>
    <row r="31" spans="1:8" s="12" customFormat="1" x14ac:dyDescent="0.25">
      <c r="A31" s="351"/>
      <c r="B31" s="352"/>
      <c r="C31" s="353" t="s">
        <v>57</v>
      </c>
      <c r="D31" s="354"/>
      <c r="E31" s="28"/>
      <c r="F31" s="180">
        <v>436</v>
      </c>
      <c r="G31" s="180">
        <v>436</v>
      </c>
      <c r="H31" s="28"/>
    </row>
    <row r="32" spans="1:8" s="12" customFormat="1" x14ac:dyDescent="0.25">
      <c r="A32" s="351"/>
      <c r="B32" s="352"/>
      <c r="C32" s="353" t="s">
        <v>69</v>
      </c>
      <c r="D32" s="354"/>
      <c r="E32" s="28"/>
      <c r="F32" s="180">
        <v>90</v>
      </c>
      <c r="G32" s="180">
        <v>90</v>
      </c>
      <c r="H32" s="28"/>
    </row>
    <row r="33" spans="1:8" s="12" customFormat="1" x14ac:dyDescent="0.25">
      <c r="A33" s="351"/>
      <c r="B33" s="352"/>
      <c r="C33" s="355" t="s">
        <v>70</v>
      </c>
      <c r="D33" s="356"/>
      <c r="E33" s="28"/>
      <c r="F33" s="180">
        <v>78</v>
      </c>
      <c r="G33" s="180">
        <v>78</v>
      </c>
      <c r="H33" s="28"/>
    </row>
    <row r="34" spans="1:8" s="12" customFormat="1" ht="13.5" thickBot="1" x14ac:dyDescent="0.3">
      <c r="A34" s="344"/>
      <c r="B34" s="346"/>
      <c r="C34" s="341" t="s">
        <v>111</v>
      </c>
      <c r="D34" s="342"/>
      <c r="E34" s="28"/>
      <c r="F34" s="184">
        <v>324</v>
      </c>
      <c r="G34" s="184">
        <v>324</v>
      </c>
      <c r="H34" s="28"/>
    </row>
    <row r="35" spans="1:8" s="12" customFormat="1" x14ac:dyDescent="0.25">
      <c r="A35" s="343" t="s">
        <v>11</v>
      </c>
      <c r="B35" s="345"/>
      <c r="C35" s="347" t="s">
        <v>24</v>
      </c>
      <c r="D35" s="348"/>
      <c r="E35" s="28"/>
      <c r="F35" s="192">
        <v>13200</v>
      </c>
      <c r="G35" s="192">
        <v>13200</v>
      </c>
      <c r="H35" s="28"/>
    </row>
    <row r="36" spans="1:8" s="12" customFormat="1" ht="13.5" thickBot="1" x14ac:dyDescent="0.3">
      <c r="A36" s="344"/>
      <c r="B36" s="346"/>
      <c r="C36" s="341" t="s">
        <v>22</v>
      </c>
      <c r="D36" s="342"/>
      <c r="E36" s="28"/>
      <c r="F36" s="184">
        <v>13200</v>
      </c>
      <c r="G36" s="184">
        <v>13200</v>
      </c>
      <c r="H36" s="28"/>
    </row>
    <row r="37" spans="1:8" s="12" customFormat="1" x14ac:dyDescent="0.25">
      <c r="A37" s="343" t="s">
        <v>16</v>
      </c>
      <c r="B37" s="345"/>
      <c r="C37" s="347" t="s">
        <v>24</v>
      </c>
      <c r="D37" s="348"/>
      <c r="E37" s="28"/>
      <c r="F37" s="192">
        <v>23000</v>
      </c>
      <c r="G37" s="192">
        <v>23000</v>
      </c>
      <c r="H37" s="28"/>
    </row>
    <row r="38" spans="1:8" s="12" customFormat="1" ht="13.5" thickBot="1" x14ac:dyDescent="0.3">
      <c r="A38" s="344"/>
      <c r="B38" s="346"/>
      <c r="C38" s="349" t="s">
        <v>23</v>
      </c>
      <c r="D38" s="350"/>
      <c r="E38" s="28"/>
      <c r="F38" s="184">
        <v>23000</v>
      </c>
      <c r="G38" s="184">
        <v>23000</v>
      </c>
      <c r="H38" s="28"/>
    </row>
    <row r="39" spans="1:8" s="12" customFormat="1" ht="17.45" customHeight="1" thickBot="1" x14ac:dyDescent="0.3">
      <c r="A39" s="44" t="s">
        <v>52</v>
      </c>
      <c r="B39" s="24" t="s">
        <v>53</v>
      </c>
      <c r="C39" s="357"/>
      <c r="D39" s="358"/>
      <c r="E39" s="29"/>
      <c r="F39" s="193"/>
      <c r="G39" s="193"/>
      <c r="H39" s="29"/>
    </row>
    <row r="40" spans="1:8" s="12" customFormat="1" x14ac:dyDescent="0.25">
      <c r="A40" s="343" t="s">
        <v>219</v>
      </c>
      <c r="B40" s="345" t="s">
        <v>222</v>
      </c>
      <c r="C40" s="347" t="s">
        <v>221</v>
      </c>
      <c r="D40" s="348"/>
      <c r="E40" s="28"/>
      <c r="F40" s="192" t="s">
        <v>467</v>
      </c>
      <c r="G40" s="192" t="s">
        <v>467</v>
      </c>
      <c r="H40" s="28"/>
    </row>
    <row r="41" spans="1:8" s="12" customFormat="1" ht="14.45" customHeight="1" x14ac:dyDescent="0.25">
      <c r="A41" s="351"/>
      <c r="B41" s="352"/>
      <c r="C41" s="353" t="s">
        <v>220</v>
      </c>
      <c r="D41" s="354"/>
      <c r="E41" s="28"/>
      <c r="F41" s="180" t="s">
        <v>428</v>
      </c>
      <c r="G41" s="180" t="s">
        <v>428</v>
      </c>
      <c r="H41" s="28"/>
    </row>
    <row r="42" spans="1:8" s="12" customFormat="1" ht="74.099999999999994" customHeight="1" thickBot="1" x14ac:dyDescent="0.3">
      <c r="A42" s="344"/>
      <c r="B42" s="352"/>
      <c r="C42" s="349"/>
      <c r="D42" s="350"/>
      <c r="E42" s="28"/>
      <c r="F42" s="179"/>
      <c r="G42" s="179"/>
      <c r="H42" s="28"/>
    </row>
    <row r="43" spans="1:8" s="12" customFormat="1" ht="30.95" customHeight="1" thickBot="1" x14ac:dyDescent="0.3">
      <c r="A43" s="44" t="s">
        <v>219</v>
      </c>
      <c r="B43" s="24" t="s">
        <v>218</v>
      </c>
      <c r="C43" s="357"/>
      <c r="D43" s="358"/>
      <c r="E43" s="29"/>
      <c r="F43" s="193"/>
      <c r="G43" s="193"/>
      <c r="H43" s="29"/>
    </row>
    <row r="44" spans="1:8" s="12" customFormat="1" ht="13.5" thickBot="1" x14ac:dyDescent="0.3">
      <c r="A44" s="367" t="s">
        <v>12</v>
      </c>
      <c r="B44" s="368" t="s">
        <v>142</v>
      </c>
      <c r="C44" s="347" t="s">
        <v>174</v>
      </c>
      <c r="D44" s="348"/>
      <c r="E44" s="28"/>
      <c r="F44" s="192" t="s">
        <v>416</v>
      </c>
      <c r="G44" s="192" t="s">
        <v>416</v>
      </c>
      <c r="H44" s="28"/>
    </row>
    <row r="45" spans="1:8" s="12" customFormat="1" ht="13.5" thickBot="1" x14ac:dyDescent="0.3">
      <c r="A45" s="367"/>
      <c r="B45" s="368"/>
      <c r="C45" s="353" t="s">
        <v>175</v>
      </c>
      <c r="D45" s="354"/>
      <c r="E45" s="28"/>
      <c r="F45" s="180">
        <v>6610</v>
      </c>
      <c r="G45" s="180">
        <v>6610</v>
      </c>
      <c r="H45" s="28"/>
    </row>
    <row r="46" spans="1:8" s="12" customFormat="1" ht="13.5" thickBot="1" x14ac:dyDescent="0.3">
      <c r="A46" s="367"/>
      <c r="B46" s="368"/>
      <c r="C46" s="353" t="s">
        <v>176</v>
      </c>
      <c r="D46" s="354"/>
      <c r="E46" s="28"/>
      <c r="F46" s="209" t="s">
        <v>416</v>
      </c>
      <c r="G46" s="209" t="s">
        <v>416</v>
      </c>
      <c r="H46" s="28"/>
    </row>
    <row r="47" spans="1:8" s="12" customFormat="1" ht="13.5" thickBot="1" x14ac:dyDescent="0.3">
      <c r="A47" s="367"/>
      <c r="B47" s="368"/>
      <c r="C47" s="353" t="s">
        <v>177</v>
      </c>
      <c r="D47" s="354"/>
      <c r="E47" s="28"/>
      <c r="F47" s="180">
        <v>6005</v>
      </c>
      <c r="G47" s="180">
        <v>6005</v>
      </c>
      <c r="H47" s="28"/>
    </row>
    <row r="48" spans="1:8" s="12" customFormat="1" ht="13.5" thickBot="1" x14ac:dyDescent="0.3">
      <c r="A48" s="367"/>
      <c r="B48" s="368"/>
      <c r="C48" s="353" t="s">
        <v>112</v>
      </c>
      <c r="D48" s="354"/>
      <c r="E48" s="28"/>
      <c r="F48" s="180" t="s">
        <v>486</v>
      </c>
      <c r="G48" s="180" t="s">
        <v>486</v>
      </c>
      <c r="H48" s="28"/>
    </row>
    <row r="49" spans="1:8" s="12" customFormat="1" ht="13.5" thickBot="1" x14ac:dyDescent="0.3">
      <c r="A49" s="367"/>
      <c r="B49" s="368"/>
      <c r="C49" s="353" t="s">
        <v>113</v>
      </c>
      <c r="D49" s="354"/>
      <c r="E49" s="28"/>
      <c r="F49" s="180" t="s">
        <v>487</v>
      </c>
      <c r="G49" s="180" t="s">
        <v>487</v>
      </c>
      <c r="H49" s="28"/>
    </row>
    <row r="50" spans="1:8" s="12" customFormat="1" ht="13.5" thickBot="1" x14ac:dyDescent="0.3">
      <c r="A50" s="367"/>
      <c r="B50" s="368"/>
      <c r="C50" s="355" t="s">
        <v>114</v>
      </c>
      <c r="D50" s="356"/>
      <c r="E50" s="28"/>
      <c r="F50" s="180" t="s">
        <v>486</v>
      </c>
      <c r="G50" s="180" t="s">
        <v>486</v>
      </c>
      <c r="H50" s="28"/>
    </row>
    <row r="51" spans="1:8" s="12" customFormat="1" ht="13.5" thickBot="1" x14ac:dyDescent="0.3">
      <c r="A51" s="367"/>
      <c r="B51" s="368"/>
      <c r="C51" s="341" t="s">
        <v>115</v>
      </c>
      <c r="D51" s="342"/>
      <c r="E51" s="28"/>
      <c r="F51" s="184" t="s">
        <v>487</v>
      </c>
      <c r="G51" s="184" t="s">
        <v>487</v>
      </c>
      <c r="H51" s="28"/>
    </row>
    <row r="52" spans="1:8" s="12" customFormat="1" x14ac:dyDescent="0.25">
      <c r="A52" s="343" t="s">
        <v>10</v>
      </c>
      <c r="B52" s="345" t="s">
        <v>217</v>
      </c>
      <c r="C52" s="347" t="s">
        <v>116</v>
      </c>
      <c r="D52" s="348"/>
      <c r="E52" s="28"/>
      <c r="F52" s="192">
        <v>5</v>
      </c>
      <c r="G52" s="192">
        <v>5</v>
      </c>
      <c r="H52" s="28"/>
    </row>
    <row r="53" spans="1:8" s="12" customFormat="1" x14ac:dyDescent="0.25">
      <c r="A53" s="351"/>
      <c r="B53" s="352"/>
      <c r="C53" s="353" t="s">
        <v>117</v>
      </c>
      <c r="D53" s="354"/>
      <c r="E53" s="28"/>
      <c r="F53" s="180" t="s">
        <v>344</v>
      </c>
      <c r="G53" s="180" t="s">
        <v>344</v>
      </c>
      <c r="H53" s="28"/>
    </row>
    <row r="54" spans="1:8" s="12" customFormat="1" ht="26.25" thickBot="1" x14ac:dyDescent="0.3">
      <c r="A54" s="351"/>
      <c r="B54" s="352"/>
      <c r="C54" s="349" t="s">
        <v>71</v>
      </c>
      <c r="D54" s="350"/>
      <c r="E54" s="28"/>
      <c r="F54" s="179" t="s">
        <v>470</v>
      </c>
      <c r="G54" s="179" t="s">
        <v>470</v>
      </c>
      <c r="H54" s="28"/>
    </row>
    <row r="55" spans="1:8" s="12" customFormat="1" ht="80.099999999999994" customHeight="1" thickBot="1" x14ac:dyDescent="0.3">
      <c r="A55" s="45" t="s">
        <v>9</v>
      </c>
      <c r="B55" s="22" t="s">
        <v>254</v>
      </c>
      <c r="C55" s="355"/>
      <c r="D55" s="356"/>
      <c r="E55" s="28"/>
      <c r="F55" s="192"/>
      <c r="G55" s="192"/>
      <c r="H55" s="28"/>
    </row>
    <row r="56" spans="1:8" s="12" customFormat="1" ht="29.45" customHeight="1" thickBot="1" x14ac:dyDescent="0.3">
      <c r="A56" s="44" t="s">
        <v>253</v>
      </c>
      <c r="B56" s="22" t="s">
        <v>252</v>
      </c>
      <c r="C56" s="357"/>
      <c r="D56" s="358"/>
      <c r="E56" s="29"/>
      <c r="F56" s="196"/>
      <c r="G56" s="196"/>
      <c r="H56" s="29"/>
    </row>
    <row r="57" spans="1:8" s="12" customFormat="1" ht="25.5" x14ac:dyDescent="0.25">
      <c r="A57" s="343" t="s">
        <v>25</v>
      </c>
      <c r="B57" s="345" t="s">
        <v>93</v>
      </c>
      <c r="C57" s="347" t="s">
        <v>72</v>
      </c>
      <c r="D57" s="348"/>
      <c r="E57" s="28"/>
      <c r="F57" s="192" t="s">
        <v>495</v>
      </c>
      <c r="G57" s="192" t="s">
        <v>495</v>
      </c>
      <c r="H57" s="28"/>
    </row>
    <row r="58" spans="1:8" s="12" customFormat="1" ht="60.6" customHeight="1" thickBot="1" x14ac:dyDescent="0.3">
      <c r="A58" s="344"/>
      <c r="B58" s="346"/>
      <c r="C58" s="341" t="s">
        <v>73</v>
      </c>
      <c r="D58" s="342"/>
      <c r="E58" s="28"/>
      <c r="F58" s="184">
        <v>200</v>
      </c>
      <c r="G58" s="184">
        <v>200</v>
      </c>
      <c r="H58" s="28"/>
    </row>
    <row r="59" spans="1:8" s="12" customFormat="1" x14ac:dyDescent="0.25">
      <c r="A59" s="343" t="s">
        <v>26</v>
      </c>
      <c r="B59" s="345" t="s">
        <v>251</v>
      </c>
      <c r="C59" s="347" t="s">
        <v>74</v>
      </c>
      <c r="D59" s="348"/>
      <c r="E59" s="28"/>
      <c r="F59" s="192" t="s">
        <v>496</v>
      </c>
      <c r="G59" s="192" t="s">
        <v>496</v>
      </c>
      <c r="H59" s="28"/>
    </row>
    <row r="60" spans="1:8" s="12" customFormat="1" x14ac:dyDescent="0.25">
      <c r="A60" s="351"/>
      <c r="B60" s="352"/>
      <c r="C60" s="353" t="s">
        <v>75</v>
      </c>
      <c r="D60" s="354"/>
      <c r="E60" s="28"/>
      <c r="F60" s="180">
        <v>3</v>
      </c>
      <c r="G60" s="180">
        <v>3</v>
      </c>
      <c r="H60" s="28"/>
    </row>
    <row r="61" spans="1:8" s="12" customFormat="1" ht="32.25" customHeight="1" thickBot="1" x14ac:dyDescent="0.3">
      <c r="A61" s="344"/>
      <c r="B61" s="346"/>
      <c r="C61" s="341" t="s">
        <v>250</v>
      </c>
      <c r="D61" s="342"/>
      <c r="E61" s="28"/>
      <c r="F61" s="184" t="s">
        <v>497</v>
      </c>
      <c r="G61" s="184" t="s">
        <v>497</v>
      </c>
      <c r="H61" s="28"/>
    </row>
    <row r="62" spans="1:8" s="12" customFormat="1" ht="16.5" customHeight="1" thickBot="1" x14ac:dyDescent="0.3">
      <c r="A62" s="44" t="s">
        <v>44</v>
      </c>
      <c r="B62" s="24" t="s">
        <v>45</v>
      </c>
      <c r="C62" s="357"/>
      <c r="D62" s="358"/>
      <c r="E62" s="29"/>
      <c r="F62" s="196"/>
      <c r="G62" s="196"/>
      <c r="H62" s="29"/>
    </row>
    <row r="63" spans="1:8" s="12" customFormat="1" ht="28.5" customHeight="1" thickBot="1" x14ac:dyDescent="0.3">
      <c r="A63" s="44" t="s">
        <v>44</v>
      </c>
      <c r="B63" s="24" t="s">
        <v>63</v>
      </c>
      <c r="C63" s="357"/>
      <c r="D63" s="358"/>
      <c r="E63" s="29"/>
      <c r="F63" s="196"/>
      <c r="G63" s="196"/>
      <c r="H63" s="29"/>
    </row>
    <row r="64" spans="1:8" s="12" customFormat="1" ht="29.1" customHeight="1" thickBot="1" x14ac:dyDescent="0.3">
      <c r="A64" s="44" t="s">
        <v>44</v>
      </c>
      <c r="B64" s="24" t="s">
        <v>64</v>
      </c>
      <c r="C64" s="357"/>
      <c r="D64" s="358"/>
      <c r="E64" s="29"/>
      <c r="F64" s="196"/>
      <c r="G64" s="196"/>
      <c r="H64" s="29"/>
    </row>
    <row r="65" spans="1:8" s="12" customFormat="1" ht="27.95" customHeight="1" thickBot="1" x14ac:dyDescent="0.3">
      <c r="A65" s="44" t="s">
        <v>50</v>
      </c>
      <c r="B65" s="24" t="s">
        <v>216</v>
      </c>
      <c r="C65" s="357"/>
      <c r="D65" s="358"/>
      <c r="E65" s="29"/>
      <c r="F65" s="196"/>
      <c r="G65" s="196"/>
      <c r="H65" s="29"/>
    </row>
    <row r="66" spans="1:8" s="12" customFormat="1" ht="15.95" customHeight="1" thickBot="1" x14ac:dyDescent="0.3">
      <c r="A66" s="44" t="s">
        <v>27</v>
      </c>
      <c r="B66" s="24" t="s">
        <v>215</v>
      </c>
      <c r="C66" s="369" t="s">
        <v>77</v>
      </c>
      <c r="D66" s="370"/>
      <c r="E66" s="28"/>
      <c r="F66" s="193" t="s">
        <v>498</v>
      </c>
      <c r="G66" s="193" t="s">
        <v>498</v>
      </c>
      <c r="H66" s="28"/>
    </row>
    <row r="67" spans="1:8" s="12" customFormat="1" ht="54.6" customHeight="1" thickBot="1" x14ac:dyDescent="0.3">
      <c r="A67" s="44" t="s">
        <v>214</v>
      </c>
      <c r="B67" s="24" t="s">
        <v>213</v>
      </c>
      <c r="C67" s="369"/>
      <c r="D67" s="370"/>
      <c r="E67" s="28"/>
      <c r="F67" s="193"/>
      <c r="G67" s="193"/>
      <c r="H67" s="28"/>
    </row>
    <row r="68" spans="1:8" s="12" customFormat="1" ht="15" customHeight="1" x14ac:dyDescent="0.25">
      <c r="A68" s="343" t="s">
        <v>28</v>
      </c>
      <c r="B68" s="345" t="s">
        <v>264</v>
      </c>
      <c r="C68" s="472" t="s">
        <v>248</v>
      </c>
      <c r="D68" s="348"/>
      <c r="E68" s="28"/>
      <c r="F68" s="192">
        <v>60</v>
      </c>
      <c r="G68" s="192" t="s">
        <v>505</v>
      </c>
      <c r="H68" s="28"/>
    </row>
    <row r="69" spans="1:8" s="12" customFormat="1" ht="29.25" customHeight="1" thickBot="1" x14ac:dyDescent="0.3">
      <c r="A69" s="344"/>
      <c r="B69" s="346"/>
      <c r="C69" s="413" t="s">
        <v>247</v>
      </c>
      <c r="D69" s="342"/>
      <c r="E69" s="28"/>
      <c r="F69" s="184" t="s">
        <v>504</v>
      </c>
      <c r="G69" s="184" t="s">
        <v>506</v>
      </c>
      <c r="H69" s="28"/>
    </row>
    <row r="70" spans="1:8" s="12" customFormat="1" ht="42" customHeight="1" thickBot="1" x14ac:dyDescent="0.3">
      <c r="A70" s="44" t="s">
        <v>51</v>
      </c>
      <c r="B70" s="24" t="s">
        <v>212</v>
      </c>
      <c r="C70" s="357"/>
      <c r="D70" s="358"/>
      <c r="E70" s="29"/>
      <c r="F70" s="193"/>
      <c r="G70" s="193"/>
      <c r="H70" s="29"/>
    </row>
    <row r="71" spans="1:8" s="12" customFormat="1" ht="42" customHeight="1" thickBot="1" x14ac:dyDescent="0.3">
      <c r="A71" s="44" t="s">
        <v>54</v>
      </c>
      <c r="B71" s="24" t="s">
        <v>80</v>
      </c>
      <c r="C71" s="357"/>
      <c r="D71" s="358"/>
      <c r="E71" s="29"/>
      <c r="F71" s="193"/>
      <c r="G71" s="193"/>
      <c r="H71" s="29"/>
    </row>
    <row r="72" spans="1:8" s="12" customFormat="1" ht="79.5" customHeight="1" thickBot="1" x14ac:dyDescent="0.3">
      <c r="A72" s="44" t="s">
        <v>29</v>
      </c>
      <c r="B72" s="24" t="s">
        <v>211</v>
      </c>
      <c r="C72" s="357"/>
      <c r="D72" s="358"/>
      <c r="E72" s="29"/>
      <c r="F72" s="193"/>
      <c r="G72" s="193"/>
      <c r="H72" s="29"/>
    </row>
    <row r="73" spans="1:8" s="12" customFormat="1" ht="53.1" customHeight="1" thickBot="1" x14ac:dyDescent="0.3">
      <c r="A73" s="44" t="s">
        <v>31</v>
      </c>
      <c r="B73" s="24" t="s">
        <v>210</v>
      </c>
      <c r="C73" s="369" t="s">
        <v>30</v>
      </c>
      <c r="D73" s="370"/>
      <c r="E73" s="28"/>
      <c r="F73" s="193" t="s">
        <v>411</v>
      </c>
      <c r="G73" s="193" t="s">
        <v>411</v>
      </c>
      <c r="H73" s="28"/>
    </row>
    <row r="74" spans="1:8" s="12" customFormat="1" ht="28.5" customHeight="1" thickBot="1" x14ac:dyDescent="0.3">
      <c r="A74" s="44" t="s">
        <v>55</v>
      </c>
      <c r="B74" s="24" t="s">
        <v>95</v>
      </c>
      <c r="C74" s="357"/>
      <c r="D74" s="358"/>
      <c r="E74" s="29"/>
      <c r="F74" s="193"/>
      <c r="G74" s="193"/>
      <c r="H74" s="29"/>
    </row>
    <row r="75" spans="1:8" s="12" customFormat="1" ht="30" customHeight="1" thickBot="1" x14ac:dyDescent="0.3">
      <c r="A75" s="44" t="s">
        <v>32</v>
      </c>
      <c r="B75" s="24" t="s">
        <v>96</v>
      </c>
      <c r="C75" s="369" t="s">
        <v>30</v>
      </c>
      <c r="D75" s="370"/>
      <c r="E75" s="28"/>
      <c r="F75" s="193" t="s">
        <v>474</v>
      </c>
      <c r="G75" s="193" t="s">
        <v>474</v>
      </c>
      <c r="H75" s="28"/>
    </row>
    <row r="76" spans="1:8" s="12" customFormat="1" ht="40.5" customHeight="1" thickBot="1" x14ac:dyDescent="0.3">
      <c r="A76" s="44" t="s">
        <v>56</v>
      </c>
      <c r="B76" s="24" t="s">
        <v>167</v>
      </c>
      <c r="C76" s="357"/>
      <c r="D76" s="358"/>
      <c r="E76" s="29"/>
      <c r="F76" s="193"/>
      <c r="G76" s="193"/>
      <c r="H76" s="29"/>
    </row>
    <row r="77" spans="1:8" s="12" customFormat="1" ht="29.45" customHeight="1" thickBot="1" x14ac:dyDescent="0.3">
      <c r="A77" s="44" t="s">
        <v>48</v>
      </c>
      <c r="B77" s="24" t="s">
        <v>47</v>
      </c>
      <c r="C77" s="357"/>
      <c r="D77" s="358"/>
      <c r="E77" s="29"/>
      <c r="F77" s="193"/>
      <c r="G77" s="193"/>
      <c r="H77" s="29"/>
    </row>
    <row r="78" spans="1:8" s="12" customFormat="1" ht="28.5" customHeight="1" thickBot="1" x14ac:dyDescent="0.3">
      <c r="A78" s="44" t="s">
        <v>49</v>
      </c>
      <c r="B78" s="24" t="s">
        <v>103</v>
      </c>
      <c r="C78" s="357"/>
      <c r="D78" s="358"/>
      <c r="E78" s="29"/>
      <c r="F78" s="193"/>
      <c r="G78" s="193"/>
      <c r="H78" s="29"/>
    </row>
    <row r="79" spans="1:8" s="12" customFormat="1" ht="26.25" thickBot="1" x14ac:dyDescent="0.3">
      <c r="A79" s="44" t="s">
        <v>46</v>
      </c>
      <c r="B79" s="24" t="s">
        <v>319</v>
      </c>
      <c r="C79" s="357"/>
      <c r="D79" s="358"/>
      <c r="E79" s="29"/>
      <c r="F79" s="193"/>
      <c r="G79" s="193"/>
      <c r="H79" s="29"/>
    </row>
    <row r="80" spans="1:8" ht="13.5" thickBot="1" x14ac:dyDescent="0.25"/>
    <row r="81" spans="1:7" s="15" customFormat="1" ht="18" customHeight="1" thickBot="1" x14ac:dyDescent="0.3">
      <c r="A81" s="362" t="s">
        <v>168</v>
      </c>
      <c r="B81" s="363"/>
      <c r="C81" s="363"/>
      <c r="D81" s="364"/>
      <c r="E81" s="32"/>
      <c r="F81" s="536" t="s">
        <v>337</v>
      </c>
      <c r="G81" s="537"/>
    </row>
    <row r="82" spans="1:7" s="3" customFormat="1" ht="15" customHeight="1" thickBot="1" x14ac:dyDescent="0.3">
      <c r="A82" s="371" t="s">
        <v>169</v>
      </c>
      <c r="B82" s="372"/>
      <c r="C82" s="372"/>
      <c r="D82" s="373"/>
      <c r="E82" s="33"/>
      <c r="F82" s="246" t="s">
        <v>19</v>
      </c>
      <c r="G82" s="246" t="s">
        <v>432</v>
      </c>
    </row>
    <row r="83" spans="1:7" s="12" customFormat="1" ht="12.75" customHeight="1" x14ac:dyDescent="0.25">
      <c r="A83" s="374" t="s">
        <v>83</v>
      </c>
      <c r="B83" s="375"/>
      <c r="C83" s="375"/>
      <c r="D83" s="376"/>
      <c r="E83" s="29"/>
      <c r="F83" s="251">
        <f>-1010*('PPI Adj'!D6)</f>
        <v>-1178.67</v>
      </c>
      <c r="G83" s="251">
        <f>-1010*('PPI Adj'!D6)</f>
        <v>-1178.67</v>
      </c>
    </row>
    <row r="84" spans="1:7" s="12" customFormat="1" ht="12.75" customHeight="1" x14ac:dyDescent="0.25">
      <c r="A84" s="377" t="s">
        <v>34</v>
      </c>
      <c r="B84" s="378"/>
      <c r="C84" s="378"/>
      <c r="D84" s="379"/>
      <c r="E84" s="28"/>
      <c r="F84" s="252">
        <f>678*('PPI Adj'!D6)</f>
        <v>791.226</v>
      </c>
      <c r="G84" s="252">
        <f>678*('PPI Adj'!D6)</f>
        <v>791.226</v>
      </c>
    </row>
    <row r="85" spans="1:7" s="12" customFormat="1" x14ac:dyDescent="0.25">
      <c r="A85" s="377" t="s">
        <v>35</v>
      </c>
      <c r="B85" s="378"/>
      <c r="C85" s="378"/>
      <c r="D85" s="379"/>
      <c r="E85" s="29"/>
      <c r="F85" s="252">
        <f>457*('PPI Adj'!D6)</f>
        <v>533.31900000000007</v>
      </c>
      <c r="G85" s="252">
        <f>457*('PPI Adj'!D6)</f>
        <v>533.31900000000007</v>
      </c>
    </row>
    <row r="86" spans="1:7" s="12" customFormat="1" x14ac:dyDescent="0.25">
      <c r="A86" s="377" t="s">
        <v>36</v>
      </c>
      <c r="B86" s="378"/>
      <c r="C86" s="378"/>
      <c r="D86" s="379"/>
      <c r="E86" s="28"/>
      <c r="F86" s="252">
        <f>738*('PPI Adj'!D6)</f>
        <v>861.24599999999998</v>
      </c>
      <c r="G86" s="252">
        <f>738*('PPI Adj'!D6)</f>
        <v>861.24599999999998</v>
      </c>
    </row>
    <row r="87" spans="1:7" s="12" customFormat="1" x14ac:dyDescent="0.25">
      <c r="A87" s="377" t="s">
        <v>60</v>
      </c>
      <c r="B87" s="378"/>
      <c r="C87" s="378"/>
      <c r="D87" s="379"/>
      <c r="E87" s="28"/>
      <c r="F87" s="252">
        <f>95*('PPI Adj'!D6)</f>
        <v>110.86500000000001</v>
      </c>
      <c r="G87" s="252">
        <f>95*('PPI Adj'!D6)</f>
        <v>110.86500000000001</v>
      </c>
    </row>
    <row r="88" spans="1:7" s="12" customFormat="1" x14ac:dyDescent="0.25">
      <c r="A88" s="377" t="s">
        <v>61</v>
      </c>
      <c r="B88" s="378"/>
      <c r="C88" s="378"/>
      <c r="D88" s="379"/>
      <c r="E88" s="28"/>
      <c r="F88" s="252">
        <f>386*('PPI Adj'!D6)</f>
        <v>450.46199999999999</v>
      </c>
      <c r="G88" s="252">
        <f>386*('PPI Adj'!D6)</f>
        <v>450.46199999999999</v>
      </c>
    </row>
    <row r="89" spans="1:7" s="12" customFormat="1" ht="12.75" customHeight="1" x14ac:dyDescent="0.25">
      <c r="A89" s="377" t="s">
        <v>86</v>
      </c>
      <c r="B89" s="378"/>
      <c r="C89" s="378"/>
      <c r="D89" s="379"/>
      <c r="E89" s="28"/>
      <c r="F89" s="252">
        <f>856*('PPI Adj'!D6)</f>
        <v>998.952</v>
      </c>
      <c r="G89" s="252">
        <f>856*('PPI Adj'!D6)</f>
        <v>998.952</v>
      </c>
    </row>
    <row r="90" spans="1:7" ht="12.75" customHeight="1" x14ac:dyDescent="0.2">
      <c r="A90" s="377" t="s">
        <v>85</v>
      </c>
      <c r="B90" s="378"/>
      <c r="C90" s="378"/>
      <c r="D90" s="379"/>
      <c r="E90" s="28"/>
      <c r="F90" s="252">
        <f>7550.4*('PPI Adj'!D6)</f>
        <v>8811.3168000000005</v>
      </c>
      <c r="G90" s="252">
        <f>7550.4*('PPI Adj'!D6)</f>
        <v>8811.3168000000005</v>
      </c>
    </row>
    <row r="91" spans="1:7" x14ac:dyDescent="0.2">
      <c r="A91" s="377" t="s">
        <v>13</v>
      </c>
      <c r="B91" s="378"/>
      <c r="C91" s="378"/>
      <c r="D91" s="379"/>
      <c r="E91" s="28"/>
      <c r="F91" s="252">
        <f>10801*('PPI Adj'!D6)</f>
        <v>12604.767</v>
      </c>
      <c r="G91" s="252">
        <f>10801*('PPI Adj'!D6)</f>
        <v>12604.767</v>
      </c>
    </row>
    <row r="92" spans="1:7" ht="12.75" customHeight="1" x14ac:dyDescent="0.2">
      <c r="A92" s="377" t="s">
        <v>37</v>
      </c>
      <c r="B92" s="378"/>
      <c r="C92" s="378"/>
      <c r="D92" s="379"/>
      <c r="E92" s="29"/>
      <c r="F92" s="252">
        <f>1000*('PPI Adj'!D6)</f>
        <v>1167</v>
      </c>
      <c r="G92" s="252">
        <f>1000*('PPI Adj'!D6)</f>
        <v>1167</v>
      </c>
    </row>
    <row r="93" spans="1:7" x14ac:dyDescent="0.2">
      <c r="A93" s="377" t="s">
        <v>38</v>
      </c>
      <c r="B93" s="378"/>
      <c r="C93" s="378"/>
      <c r="D93" s="379"/>
      <c r="E93" s="29"/>
      <c r="F93" s="252">
        <f>787*('PPI Adj'!D6)</f>
        <v>918.42899999999997</v>
      </c>
      <c r="G93" s="252">
        <f>787*('PPI Adj'!D6)</f>
        <v>918.42899999999997</v>
      </c>
    </row>
    <row r="94" spans="1:7" x14ac:dyDescent="0.2">
      <c r="A94" s="377" t="s">
        <v>201</v>
      </c>
      <c r="B94" s="378"/>
      <c r="C94" s="378"/>
      <c r="D94" s="379"/>
      <c r="E94" s="29"/>
      <c r="F94" s="252" t="s">
        <v>183</v>
      </c>
      <c r="G94" s="252" t="s">
        <v>183</v>
      </c>
    </row>
    <row r="95" spans="1:7" x14ac:dyDescent="0.2">
      <c r="A95" s="377" t="s">
        <v>39</v>
      </c>
      <c r="B95" s="378"/>
      <c r="C95" s="378"/>
      <c r="D95" s="379"/>
      <c r="E95" s="28"/>
      <c r="F95" s="252">
        <f>678*('PPI Adj'!D6)</f>
        <v>791.226</v>
      </c>
      <c r="G95" s="252">
        <f>678*('PPI Adj'!D6)</f>
        <v>791.226</v>
      </c>
    </row>
    <row r="96" spans="1:7" ht="12.75" customHeight="1" x14ac:dyDescent="0.2">
      <c r="A96" s="377" t="s">
        <v>88</v>
      </c>
      <c r="B96" s="378"/>
      <c r="C96" s="378"/>
      <c r="D96" s="379"/>
      <c r="E96" s="28"/>
      <c r="F96" s="252">
        <f>4245*('PPI Adj'!D6)</f>
        <v>4953.915</v>
      </c>
      <c r="G96" s="252">
        <f>4245*('PPI Adj'!D6)</f>
        <v>4953.915</v>
      </c>
    </row>
    <row r="97" spans="1:7" x14ac:dyDescent="0.2">
      <c r="A97" s="377" t="s">
        <v>40</v>
      </c>
      <c r="B97" s="378"/>
      <c r="C97" s="378"/>
      <c r="D97" s="379"/>
      <c r="E97" s="28"/>
      <c r="F97" s="252">
        <f>225*('PPI Adj'!D6)</f>
        <v>262.57499999999999</v>
      </c>
      <c r="G97" s="252">
        <f>225*('PPI Adj'!D6)</f>
        <v>262.57499999999999</v>
      </c>
    </row>
    <row r="98" spans="1:7" x14ac:dyDescent="0.2">
      <c r="A98" s="377" t="s">
        <v>14</v>
      </c>
      <c r="B98" s="378"/>
      <c r="C98" s="378"/>
      <c r="D98" s="379"/>
      <c r="E98" s="28"/>
      <c r="F98" s="252">
        <f>9775.46*('PPI Adj'!D6)</f>
        <v>11407.961819999999</v>
      </c>
      <c r="G98" s="252">
        <f>9775.46*('PPI Adj'!D6)</f>
        <v>11407.961819999999</v>
      </c>
    </row>
    <row r="99" spans="1:7" ht="12.75" customHeight="1" x14ac:dyDescent="0.2">
      <c r="A99" s="377" t="s">
        <v>91</v>
      </c>
      <c r="B99" s="378"/>
      <c r="C99" s="378"/>
      <c r="D99" s="379"/>
      <c r="E99" s="28"/>
      <c r="F99" s="252">
        <f>1971*('PPI Adj'!D6)</f>
        <v>2300.1570000000002</v>
      </c>
      <c r="G99" s="252">
        <f>1971*('PPI Adj'!D6)</f>
        <v>2300.1570000000002</v>
      </c>
    </row>
    <row r="100" spans="1:7" x14ac:dyDescent="0.2">
      <c r="A100" s="383" t="s">
        <v>272</v>
      </c>
      <c r="B100" s="384"/>
      <c r="C100" s="384"/>
      <c r="D100" s="385"/>
      <c r="E100" s="28"/>
      <c r="F100" s="253">
        <f>-1036*('PPI Adj'!D6)</f>
        <v>-1209.0119999999999</v>
      </c>
      <c r="G100" s="253">
        <f>-1036*('PPI Adj'!D6)</f>
        <v>-1209.0119999999999</v>
      </c>
    </row>
    <row r="101" spans="1:7" ht="13.5" customHeight="1" thickBot="1" x14ac:dyDescent="0.25">
      <c r="A101" s="380" t="s">
        <v>92</v>
      </c>
      <c r="B101" s="381"/>
      <c r="C101" s="381"/>
      <c r="D101" s="382"/>
      <c r="E101" s="29"/>
      <c r="F101" s="254">
        <f>-2023*('PPI Adj'!D6)</f>
        <v>-2360.8409999999999</v>
      </c>
      <c r="G101" s="254">
        <f>-2023*('PPI Adj'!D6)</f>
        <v>-2360.8409999999999</v>
      </c>
    </row>
    <row r="102" spans="1:7" ht="13.5" thickBot="1" x14ac:dyDescent="0.25"/>
    <row r="103" spans="1:7" s="15" customFormat="1" ht="18" customHeight="1" thickBot="1" x14ac:dyDescent="0.3">
      <c r="A103" s="362" t="s">
        <v>166</v>
      </c>
      <c r="B103" s="363"/>
      <c r="C103" s="363"/>
      <c r="D103" s="364"/>
      <c r="E103" s="32"/>
      <c r="F103" s="536" t="s">
        <v>337</v>
      </c>
      <c r="G103" s="537"/>
    </row>
    <row r="104" spans="1:7" s="3" customFormat="1" ht="15" customHeight="1" thickBot="1" x14ac:dyDescent="0.3">
      <c r="A104" s="46" t="s">
        <v>33</v>
      </c>
      <c r="B104" s="18" t="s">
        <v>7</v>
      </c>
      <c r="C104" s="386" t="s">
        <v>165</v>
      </c>
      <c r="D104" s="387"/>
      <c r="E104" s="33"/>
      <c r="F104" s="246" t="s">
        <v>19</v>
      </c>
      <c r="G104" s="246" t="s">
        <v>432</v>
      </c>
    </row>
    <row r="105" spans="1:7" s="12" customFormat="1" ht="42" customHeight="1" thickBot="1" x14ac:dyDescent="0.3">
      <c r="A105" s="47" t="s">
        <v>83</v>
      </c>
      <c r="B105" s="17" t="s">
        <v>146</v>
      </c>
      <c r="C105" s="388"/>
      <c r="D105" s="389"/>
      <c r="E105" s="29"/>
      <c r="F105" s="193"/>
      <c r="G105" s="193"/>
    </row>
    <row r="106" spans="1:7" s="12" customFormat="1" ht="26.25" thickBot="1" x14ac:dyDescent="0.3">
      <c r="A106" s="44" t="s">
        <v>34</v>
      </c>
      <c r="B106" s="24" t="s">
        <v>107</v>
      </c>
      <c r="C106" s="369" t="s">
        <v>30</v>
      </c>
      <c r="D106" s="370"/>
      <c r="E106" s="28"/>
      <c r="F106" s="193" t="s">
        <v>352</v>
      </c>
      <c r="G106" s="193" t="s">
        <v>352</v>
      </c>
    </row>
    <row r="107" spans="1:7" s="12" customFormat="1" ht="53.45" customHeight="1" thickBot="1" x14ac:dyDescent="0.3">
      <c r="A107" s="44" t="s">
        <v>35</v>
      </c>
      <c r="B107" s="24" t="s">
        <v>97</v>
      </c>
      <c r="C107" s="357"/>
      <c r="D107" s="358"/>
      <c r="E107" s="29"/>
      <c r="F107" s="193"/>
      <c r="G107" s="193"/>
    </row>
    <row r="108" spans="1:7" s="12" customFormat="1" ht="30" customHeight="1" thickBot="1" x14ac:dyDescent="0.3">
      <c r="A108" s="44" t="s">
        <v>36</v>
      </c>
      <c r="B108" s="24" t="s">
        <v>84</v>
      </c>
      <c r="C108" s="369" t="s">
        <v>99</v>
      </c>
      <c r="D108" s="370"/>
      <c r="E108" s="28"/>
      <c r="F108" s="193" t="s">
        <v>413</v>
      </c>
      <c r="G108" s="193" t="s">
        <v>413</v>
      </c>
    </row>
    <row r="109" spans="1:7" s="12" customFormat="1" ht="12.75" customHeight="1" x14ac:dyDescent="0.25">
      <c r="A109" s="343" t="s">
        <v>60</v>
      </c>
      <c r="B109" s="345" t="s">
        <v>133</v>
      </c>
      <c r="C109" s="347" t="s">
        <v>203</v>
      </c>
      <c r="D109" s="348"/>
      <c r="E109" s="28"/>
      <c r="F109" s="192" t="s">
        <v>416</v>
      </c>
      <c r="G109" s="192" t="s">
        <v>416</v>
      </c>
    </row>
    <row r="110" spans="1:7" s="12" customFormat="1" x14ac:dyDescent="0.25">
      <c r="A110" s="351"/>
      <c r="B110" s="352"/>
      <c r="C110" s="353" t="s">
        <v>202</v>
      </c>
      <c r="D110" s="354"/>
      <c r="E110" s="28"/>
      <c r="F110" s="180">
        <v>6005</v>
      </c>
      <c r="G110" s="180">
        <v>6005</v>
      </c>
    </row>
    <row r="111" spans="1:7" s="12" customFormat="1" x14ac:dyDescent="0.25">
      <c r="A111" s="351"/>
      <c r="B111" s="352"/>
      <c r="C111" s="353" t="s">
        <v>114</v>
      </c>
      <c r="D111" s="354"/>
      <c r="E111" s="28"/>
      <c r="F111" s="180" t="s">
        <v>488</v>
      </c>
      <c r="G111" s="180" t="s">
        <v>488</v>
      </c>
    </row>
    <row r="112" spans="1:7" s="12" customFormat="1" ht="30.75" customHeight="1" thickBot="1" x14ac:dyDescent="0.3">
      <c r="A112" s="344"/>
      <c r="B112" s="346"/>
      <c r="C112" s="341" t="s">
        <v>115</v>
      </c>
      <c r="D112" s="342"/>
      <c r="E112" s="28"/>
      <c r="F112" s="184" t="s">
        <v>476</v>
      </c>
      <c r="G112" s="184" t="s">
        <v>476</v>
      </c>
    </row>
    <row r="113" spans="1:7" s="12" customFormat="1" ht="12.75" customHeight="1" x14ac:dyDescent="0.25">
      <c r="A113" s="343" t="s">
        <v>61</v>
      </c>
      <c r="B113" s="345" t="s">
        <v>206</v>
      </c>
      <c r="C113" s="347" t="s">
        <v>205</v>
      </c>
      <c r="D113" s="348"/>
      <c r="E113" s="28"/>
      <c r="F113" s="192" t="s">
        <v>477</v>
      </c>
      <c r="G113" s="192" t="s">
        <v>477</v>
      </c>
    </row>
    <row r="114" spans="1:7" s="12" customFormat="1" x14ac:dyDescent="0.25">
      <c r="A114" s="351"/>
      <c r="B114" s="352"/>
      <c r="C114" s="353" t="s">
        <v>204</v>
      </c>
      <c r="D114" s="354"/>
      <c r="E114" s="28"/>
      <c r="F114" s="209">
        <v>6610</v>
      </c>
      <c r="G114" s="209">
        <v>6610</v>
      </c>
    </row>
    <row r="115" spans="1:7" s="12" customFormat="1" x14ac:dyDescent="0.25">
      <c r="A115" s="351"/>
      <c r="B115" s="352"/>
      <c r="C115" s="353" t="s">
        <v>203</v>
      </c>
      <c r="D115" s="354"/>
      <c r="E115" s="28"/>
      <c r="F115" s="209" t="s">
        <v>477</v>
      </c>
      <c r="G115" s="209" t="s">
        <v>477</v>
      </c>
    </row>
    <row r="116" spans="1:7" s="12" customFormat="1" x14ac:dyDescent="0.25">
      <c r="A116" s="351"/>
      <c r="B116" s="352"/>
      <c r="C116" s="353" t="s">
        <v>202</v>
      </c>
      <c r="D116" s="354"/>
      <c r="E116" s="28"/>
      <c r="F116" s="180">
        <v>6005</v>
      </c>
      <c r="G116" s="180">
        <v>6005</v>
      </c>
    </row>
    <row r="117" spans="1:7" s="12" customFormat="1" x14ac:dyDescent="0.25">
      <c r="A117" s="351"/>
      <c r="B117" s="352"/>
      <c r="C117" s="353" t="s">
        <v>112</v>
      </c>
      <c r="D117" s="354"/>
      <c r="E117" s="28"/>
      <c r="F117" s="180" t="s">
        <v>478</v>
      </c>
      <c r="G117" s="180" t="s">
        <v>478</v>
      </c>
    </row>
    <row r="118" spans="1:7" s="12" customFormat="1" x14ac:dyDescent="0.25">
      <c r="A118" s="351"/>
      <c r="B118" s="352"/>
      <c r="C118" s="353" t="s">
        <v>113</v>
      </c>
      <c r="D118" s="354"/>
      <c r="E118" s="28"/>
      <c r="F118" s="209" t="s">
        <v>418</v>
      </c>
      <c r="G118" s="209" t="s">
        <v>418</v>
      </c>
    </row>
    <row r="119" spans="1:7" s="12" customFormat="1" x14ac:dyDescent="0.25">
      <c r="A119" s="351"/>
      <c r="B119" s="352"/>
      <c r="C119" s="353" t="s">
        <v>114</v>
      </c>
      <c r="D119" s="354"/>
      <c r="E119" s="28"/>
      <c r="F119" s="209" t="s">
        <v>478</v>
      </c>
      <c r="G119" s="209" t="s">
        <v>478</v>
      </c>
    </row>
    <row r="120" spans="1:7" s="12" customFormat="1" ht="13.5" thickBot="1" x14ac:dyDescent="0.3">
      <c r="A120" s="344"/>
      <c r="B120" s="346"/>
      <c r="C120" s="341" t="s">
        <v>115</v>
      </c>
      <c r="D120" s="342"/>
      <c r="E120" s="28"/>
      <c r="F120" s="184" t="s">
        <v>418</v>
      </c>
      <c r="G120" s="184" t="s">
        <v>418</v>
      </c>
    </row>
    <row r="121" spans="1:7" s="12" customFormat="1" ht="146.44999999999999" customHeight="1" thickBot="1" x14ac:dyDescent="0.3">
      <c r="A121" s="48" t="s">
        <v>86</v>
      </c>
      <c r="B121" s="16" t="s">
        <v>143</v>
      </c>
      <c r="C121" s="369" t="s">
        <v>104</v>
      </c>
      <c r="D121" s="370"/>
      <c r="E121" s="28"/>
      <c r="F121" s="192" t="s">
        <v>479</v>
      </c>
      <c r="G121" s="192" t="s">
        <v>479</v>
      </c>
    </row>
    <row r="122" spans="1:7" ht="168.6" customHeight="1" thickBot="1" x14ac:dyDescent="0.25">
      <c r="A122" s="44" t="s">
        <v>85</v>
      </c>
      <c r="B122" s="13" t="s">
        <v>170</v>
      </c>
      <c r="C122" s="369" t="s">
        <v>104</v>
      </c>
      <c r="D122" s="370"/>
      <c r="E122" s="28"/>
      <c r="F122" s="193" t="s">
        <v>480</v>
      </c>
      <c r="G122" s="193" t="s">
        <v>480</v>
      </c>
    </row>
    <row r="123" spans="1:7" x14ac:dyDescent="0.2">
      <c r="A123" s="343" t="s">
        <v>13</v>
      </c>
      <c r="B123" s="345" t="s">
        <v>98</v>
      </c>
      <c r="C123" s="347" t="s">
        <v>30</v>
      </c>
      <c r="D123" s="348"/>
      <c r="E123" s="28"/>
      <c r="F123" s="192" t="s">
        <v>361</v>
      </c>
      <c r="G123" s="192" t="s">
        <v>361</v>
      </c>
    </row>
    <row r="124" spans="1:7" ht="30.95" customHeight="1" thickBot="1" x14ac:dyDescent="0.25">
      <c r="A124" s="344"/>
      <c r="B124" s="346"/>
      <c r="C124" s="341" t="s">
        <v>109</v>
      </c>
      <c r="D124" s="342"/>
      <c r="E124" s="28"/>
      <c r="F124" s="184" t="s">
        <v>362</v>
      </c>
      <c r="G124" s="184" t="s">
        <v>362</v>
      </c>
    </row>
    <row r="125" spans="1:7" ht="65.45" customHeight="1" thickBot="1" x14ac:dyDescent="0.25">
      <c r="A125" s="44" t="s">
        <v>37</v>
      </c>
      <c r="B125" s="24" t="s">
        <v>135</v>
      </c>
      <c r="C125" s="357"/>
      <c r="D125" s="358"/>
      <c r="E125" s="29"/>
      <c r="F125" s="193" t="s">
        <v>378</v>
      </c>
      <c r="G125" s="193" t="s">
        <v>378</v>
      </c>
    </row>
    <row r="126" spans="1:7" ht="41.1" customHeight="1" thickBot="1" x14ac:dyDescent="0.25">
      <c r="A126" s="44" t="s">
        <v>38</v>
      </c>
      <c r="B126" s="24" t="s">
        <v>87</v>
      </c>
      <c r="C126" s="357"/>
      <c r="D126" s="358"/>
      <c r="E126" s="29"/>
      <c r="F126" s="193"/>
      <c r="G126" s="193"/>
    </row>
    <row r="127" spans="1:7" ht="17.45" customHeight="1" thickBot="1" x14ac:dyDescent="0.25">
      <c r="A127" s="44" t="s">
        <v>201</v>
      </c>
      <c r="B127" s="24" t="s">
        <v>200</v>
      </c>
      <c r="C127" s="369"/>
      <c r="D127" s="370"/>
      <c r="E127" s="28"/>
      <c r="F127" s="193"/>
      <c r="G127" s="193"/>
    </row>
    <row r="128" spans="1:7" ht="27" customHeight="1" thickBot="1" x14ac:dyDescent="0.25">
      <c r="A128" s="44" t="s">
        <v>39</v>
      </c>
      <c r="B128" s="24" t="s">
        <v>106</v>
      </c>
      <c r="C128" s="369" t="s">
        <v>105</v>
      </c>
      <c r="D128" s="370"/>
      <c r="E128" s="28"/>
      <c r="F128" s="193" t="s">
        <v>324</v>
      </c>
      <c r="G128" s="193" t="s">
        <v>324</v>
      </c>
    </row>
    <row r="129" spans="1:7" x14ac:dyDescent="0.2">
      <c r="A129" s="343" t="s">
        <v>88</v>
      </c>
      <c r="B129" s="345" t="s">
        <v>148</v>
      </c>
      <c r="C129" s="347" t="s">
        <v>100</v>
      </c>
      <c r="D129" s="348"/>
      <c r="E129" s="28"/>
      <c r="F129" s="192" t="s">
        <v>423</v>
      </c>
      <c r="G129" s="192" t="s">
        <v>423</v>
      </c>
    </row>
    <row r="130" spans="1:7" ht="108" customHeight="1" thickBot="1" x14ac:dyDescent="0.25">
      <c r="A130" s="344"/>
      <c r="B130" s="346"/>
      <c r="C130" s="341" t="s">
        <v>110</v>
      </c>
      <c r="D130" s="342"/>
      <c r="E130" s="28"/>
      <c r="F130" s="255" t="s">
        <v>438</v>
      </c>
      <c r="G130" s="255" t="s">
        <v>438</v>
      </c>
    </row>
    <row r="131" spans="1:7" ht="26.25" thickBot="1" x14ac:dyDescent="0.25">
      <c r="A131" s="44" t="s">
        <v>40</v>
      </c>
      <c r="B131" s="24" t="s">
        <v>137</v>
      </c>
      <c r="C131" s="369" t="s">
        <v>100</v>
      </c>
      <c r="D131" s="370"/>
      <c r="E131" s="28"/>
      <c r="F131" s="184" t="s">
        <v>363</v>
      </c>
      <c r="G131" s="184" t="s">
        <v>363</v>
      </c>
    </row>
    <row r="132" spans="1:7" ht="57.95" customHeight="1" thickBot="1" x14ac:dyDescent="0.25">
      <c r="A132" s="44" t="s">
        <v>14</v>
      </c>
      <c r="B132" s="24" t="s">
        <v>138</v>
      </c>
      <c r="C132" s="369" t="s">
        <v>139</v>
      </c>
      <c r="D132" s="370"/>
      <c r="E132" s="28"/>
      <c r="F132" s="193">
        <v>2</v>
      </c>
      <c r="G132" s="193">
        <v>2</v>
      </c>
    </row>
    <row r="133" spans="1:7" ht="65.45" customHeight="1" thickBot="1" x14ac:dyDescent="0.25">
      <c r="A133" s="44" t="s">
        <v>91</v>
      </c>
      <c r="B133" s="24" t="s">
        <v>144</v>
      </c>
      <c r="C133" s="369" t="s">
        <v>100</v>
      </c>
      <c r="D133" s="370"/>
      <c r="E133" s="28"/>
      <c r="F133" s="193" t="s">
        <v>364</v>
      </c>
      <c r="G133" s="193" t="s">
        <v>364</v>
      </c>
    </row>
    <row r="134" spans="1:7" ht="68.45" customHeight="1" thickBot="1" x14ac:dyDescent="0.25">
      <c r="A134" s="44" t="s">
        <v>92</v>
      </c>
      <c r="B134" s="24" t="s">
        <v>145</v>
      </c>
      <c r="C134" s="357"/>
      <c r="D134" s="358"/>
      <c r="E134" s="29"/>
      <c r="F134" s="193"/>
      <c r="G134" s="193"/>
    </row>
  </sheetData>
  <sheetProtection algorithmName="SHA-512" hashValue="qIEB6OTwpCSsQ7MTEXaQfv3zu1aF2PbzB8YrG79qvL8T8YFgNetdyznV4qgOzAhILHqpsMzQMDSSOhZ5fTmdpw==" saltValue="flUp533/IMi/UGHTs9pSIw==" spinCount="100000" sheet="1" objects="1" scenarios="1"/>
  <dataConsolidate/>
  <mergeCells count="158">
    <mergeCell ref="F103:G103"/>
    <mergeCell ref="C25:D25"/>
    <mergeCell ref="C26:D26"/>
    <mergeCell ref="A27:A28"/>
    <mergeCell ref="B27:B28"/>
    <mergeCell ref="C27:D27"/>
    <mergeCell ref="F6:G6"/>
    <mergeCell ref="F19:G19"/>
    <mergeCell ref="F24:G24"/>
    <mergeCell ref="F81:G81"/>
    <mergeCell ref="B13:D13"/>
    <mergeCell ref="B14:D14"/>
    <mergeCell ref="B15:D15"/>
    <mergeCell ref="B16:D16"/>
    <mergeCell ref="B17:D17"/>
    <mergeCell ref="A19:D19"/>
    <mergeCell ref="B21:D21"/>
    <mergeCell ref="B22:D22"/>
    <mergeCell ref="A24:D24"/>
    <mergeCell ref="B9:D9"/>
    <mergeCell ref="B10:D10"/>
    <mergeCell ref="B11:D11"/>
    <mergeCell ref="B12:D12"/>
    <mergeCell ref="A35:A36"/>
    <mergeCell ref="A3:D3"/>
    <mergeCell ref="A4:D4"/>
    <mergeCell ref="A6:D6"/>
    <mergeCell ref="B8:D8"/>
    <mergeCell ref="C28:D28"/>
    <mergeCell ref="C29:D29"/>
    <mergeCell ref="A30:A34"/>
    <mergeCell ref="B30:B34"/>
    <mergeCell ref="C30:D30"/>
    <mergeCell ref="C31:D31"/>
    <mergeCell ref="C32:D32"/>
    <mergeCell ref="C33:D33"/>
    <mergeCell ref="C34:D34"/>
    <mergeCell ref="B35:B36"/>
    <mergeCell ref="C35:D35"/>
    <mergeCell ref="C36:D36"/>
    <mergeCell ref="A37:A38"/>
    <mergeCell ref="B37:B38"/>
    <mergeCell ref="C37:D37"/>
    <mergeCell ref="C38:D38"/>
    <mergeCell ref="C39:D39"/>
    <mergeCell ref="A40:A42"/>
    <mergeCell ref="B40:B42"/>
    <mergeCell ref="C40:D40"/>
    <mergeCell ref="C41:D41"/>
    <mergeCell ref="C42:D42"/>
    <mergeCell ref="C43:D43"/>
    <mergeCell ref="A44:A51"/>
    <mergeCell ref="B44:B51"/>
    <mergeCell ref="C44:D44"/>
    <mergeCell ref="C45:D45"/>
    <mergeCell ref="C46:D46"/>
    <mergeCell ref="C47:D47"/>
    <mergeCell ref="C48:D48"/>
    <mergeCell ref="C49:D49"/>
    <mergeCell ref="C50:D50"/>
    <mergeCell ref="C51:D51"/>
    <mergeCell ref="A52:A54"/>
    <mergeCell ref="B52:B54"/>
    <mergeCell ref="C52:D52"/>
    <mergeCell ref="C53:D53"/>
    <mergeCell ref="C54:D54"/>
    <mergeCell ref="C55:D55"/>
    <mergeCell ref="C56:D56"/>
    <mergeCell ref="A57:A58"/>
    <mergeCell ref="B57:B58"/>
    <mergeCell ref="C57:D57"/>
    <mergeCell ref="C58:D58"/>
    <mergeCell ref="A59:A61"/>
    <mergeCell ref="B59:B61"/>
    <mergeCell ref="C59:D59"/>
    <mergeCell ref="C60:D60"/>
    <mergeCell ref="C61:D61"/>
    <mergeCell ref="C62:D62"/>
    <mergeCell ref="C63:D63"/>
    <mergeCell ref="C64:D64"/>
    <mergeCell ref="C65:D65"/>
    <mergeCell ref="C66:D66"/>
    <mergeCell ref="C67:D67"/>
    <mergeCell ref="A68:A69"/>
    <mergeCell ref="B68:B69"/>
    <mergeCell ref="C68:D68"/>
    <mergeCell ref="C69:D69"/>
    <mergeCell ref="C70:D70"/>
    <mergeCell ref="C71:D71"/>
    <mergeCell ref="C72:D72"/>
    <mergeCell ref="C73:D73"/>
    <mergeCell ref="C74:D74"/>
    <mergeCell ref="C75:D75"/>
    <mergeCell ref="C76:D76"/>
    <mergeCell ref="C77:D77"/>
    <mergeCell ref="C78:D78"/>
    <mergeCell ref="C79:D79"/>
    <mergeCell ref="A81:D81"/>
    <mergeCell ref="A82:D82"/>
    <mergeCell ref="A83:D83"/>
    <mergeCell ref="A84:D84"/>
    <mergeCell ref="A85:D85"/>
    <mergeCell ref="A86:D86"/>
    <mergeCell ref="A87:D87"/>
    <mergeCell ref="A88:D88"/>
    <mergeCell ref="A89:D89"/>
    <mergeCell ref="A90:D90"/>
    <mergeCell ref="A91:D91"/>
    <mergeCell ref="A92:D92"/>
    <mergeCell ref="A93:D93"/>
    <mergeCell ref="A94:D94"/>
    <mergeCell ref="A95:D95"/>
    <mergeCell ref="A96:D96"/>
    <mergeCell ref="A97:D97"/>
    <mergeCell ref="A98:D98"/>
    <mergeCell ref="A99:D99"/>
    <mergeCell ref="A101:D101"/>
    <mergeCell ref="A100:D100"/>
    <mergeCell ref="A103:D103"/>
    <mergeCell ref="C104:D104"/>
    <mergeCell ref="C105:D105"/>
    <mergeCell ref="C106:D106"/>
    <mergeCell ref="C107:D107"/>
    <mergeCell ref="C108:D108"/>
    <mergeCell ref="A109:A112"/>
    <mergeCell ref="B109:B112"/>
    <mergeCell ref="C109:D109"/>
    <mergeCell ref="C110:D110"/>
    <mergeCell ref="C111:D111"/>
    <mergeCell ref="C112:D112"/>
    <mergeCell ref="C121:D121"/>
    <mergeCell ref="C122:D122"/>
    <mergeCell ref="A123:A124"/>
    <mergeCell ref="B123:B124"/>
    <mergeCell ref="C123:D123"/>
    <mergeCell ref="C124:D124"/>
    <mergeCell ref="A113:A120"/>
    <mergeCell ref="B113:B120"/>
    <mergeCell ref="C113:D113"/>
    <mergeCell ref="C114:D114"/>
    <mergeCell ref="C115:D115"/>
    <mergeCell ref="C116:D116"/>
    <mergeCell ref="C117:D117"/>
    <mergeCell ref="C118:D118"/>
    <mergeCell ref="C119:D119"/>
    <mergeCell ref="C120:D120"/>
    <mergeCell ref="C131:D131"/>
    <mergeCell ref="C132:D132"/>
    <mergeCell ref="C133:D133"/>
    <mergeCell ref="C134:D134"/>
    <mergeCell ref="C125:D125"/>
    <mergeCell ref="C126:D126"/>
    <mergeCell ref="C127:D127"/>
    <mergeCell ref="C128:D128"/>
    <mergeCell ref="A129:A130"/>
    <mergeCell ref="B129:B130"/>
    <mergeCell ref="C129:D129"/>
    <mergeCell ref="C130:D130"/>
  </mergeCells>
  <conditionalFormatting sqref="C55 C64">
    <cfRule type="expression" dxfId="9" priority="89">
      <formula>#REF!="NO"</formula>
    </cfRule>
  </conditionalFormatting>
  <conditionalFormatting sqref="C40:D42">
    <cfRule type="expression" dxfId="8" priority="44">
      <formula>$F$2="NO"</formula>
    </cfRule>
  </conditionalFormatting>
  <conditionalFormatting sqref="C26:E39">
    <cfRule type="expression" dxfId="7" priority="90">
      <formula>#REF!="NO"</formula>
    </cfRule>
  </conditionalFormatting>
  <conditionalFormatting sqref="C43:E79">
    <cfRule type="expression" dxfId="6" priority="43">
      <formula>#REF!="NO"</formula>
    </cfRule>
  </conditionalFormatting>
  <conditionalFormatting sqref="C105:G134">
    <cfRule type="expression" dxfId="5" priority="15">
      <formula>#REF!="NO"</formula>
    </cfRule>
  </conditionalFormatting>
  <conditionalFormatting sqref="E40:E42">
    <cfRule type="expression" dxfId="4" priority="48">
      <formula>#REF!="NO"</formula>
    </cfRule>
  </conditionalFormatting>
  <conditionalFormatting sqref="E83:G101">
    <cfRule type="expression" dxfId="3" priority="1">
      <formula>#REF!="NO"</formula>
    </cfRule>
  </conditionalFormatting>
  <conditionalFormatting sqref="F8:G17">
    <cfRule type="expression" dxfId="2" priority="26">
      <formula>#REF!="NO"</formula>
    </cfRule>
  </conditionalFormatting>
  <conditionalFormatting sqref="F21:G22">
    <cfRule type="expression" dxfId="1" priority="27">
      <formula>#REF!="NO"</formula>
    </cfRule>
  </conditionalFormatting>
  <conditionalFormatting sqref="F26:H79">
    <cfRule type="expression" dxfId="0" priority="13">
      <formula>#REF!="NO"</formula>
    </cfRule>
  </conditionalFormatting>
  <dataValidations count="3">
    <dataValidation type="decimal" allowBlank="1" showInputMessage="1" showErrorMessage="1" error="The Additional Options NYS Discount entered must be greater than 0%, or less than or equal to 100%." sqref="F22:G22" xr:uid="{00000000-0002-0000-0D00-000002000000}">
      <formula1>0.01</formula1>
      <formula2>100</formula2>
    </dataValidation>
    <dataValidation type="decimal" allowBlank="1" showInputMessage="1" showErrorMessage="1" error="Invalid Entry - Bidder must enter a value that is greater than $0" sqref="F21:G21" xr:uid="{00000000-0002-0000-0D00-000001000000}">
      <formula1>0</formula1>
      <formula2>9E+21</formula2>
    </dataValidation>
    <dataValidation type="decimal" operator="greaterThanOrEqual" allowBlank="1" showInputMessage="1" showErrorMessage="1" error="The Pickup Allowance cannot be a negative number." sqref="F16:G16" xr:uid="{00000000-0002-0000-0D00-000000000000}">
      <formula1>0</formula1>
    </dataValidation>
  </dataValidations>
  <pageMargins left="0.25" right="0.25" top="0.5" bottom="0.25" header="0.3" footer="0.3"/>
  <pageSetup scale="81" fitToHeight="0" orientation="landscape" r:id="rId1"/>
  <rowBreaks count="2" manualBreakCount="2">
    <brk id="28" max="7" man="1"/>
    <brk id="56" max="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EAC60-F9E1-4D68-B06E-52DDC6B81E15}">
  <sheetPr codeName="Sheet16"/>
  <dimension ref="A1:L6"/>
  <sheetViews>
    <sheetView workbookViewId="0">
      <selection activeCell="B4" sqref="B4"/>
    </sheetView>
  </sheetViews>
  <sheetFormatPr defaultRowHeight="15" x14ac:dyDescent="0.25"/>
  <cols>
    <col min="2" max="2" width="12" bestFit="1" customWidth="1"/>
    <col min="3" max="3" width="10.5703125" customWidth="1"/>
    <col min="6" max="6" width="12" bestFit="1" customWidth="1"/>
    <col min="7" max="7" width="10.5703125" customWidth="1"/>
    <col min="10" max="10" width="9.140625" hidden="1" customWidth="1"/>
    <col min="11" max="11" width="10.5703125" hidden="1" customWidth="1"/>
    <col min="12" max="12" width="9.140625" hidden="1" customWidth="1"/>
    <col min="13" max="14" width="9.140625" customWidth="1"/>
  </cols>
  <sheetData>
    <row r="1" spans="1:12" x14ac:dyDescent="0.25">
      <c r="A1" s="539" t="s">
        <v>610</v>
      </c>
      <c r="B1" s="540"/>
      <c r="C1" s="540"/>
      <c r="D1" s="540"/>
      <c r="F1" s="538" t="s">
        <v>609</v>
      </c>
      <c r="G1" s="538"/>
      <c r="H1" s="538"/>
    </row>
    <row r="2" spans="1:12" x14ac:dyDescent="0.25">
      <c r="B2" s="53" t="s">
        <v>192</v>
      </c>
      <c r="C2" s="54"/>
      <c r="D2" s="55" t="s">
        <v>196</v>
      </c>
      <c r="F2" s="538"/>
      <c r="G2" s="538"/>
      <c r="H2" s="538"/>
      <c r="I2" s="55"/>
      <c r="J2" s="6"/>
      <c r="K2" s="6"/>
      <c r="L2" s="6"/>
    </row>
    <row r="3" spans="1:12" ht="30" x14ac:dyDescent="0.25">
      <c r="B3" s="168" t="s">
        <v>273</v>
      </c>
      <c r="C3" s="54"/>
      <c r="D3" s="61">
        <v>322.79199999999997</v>
      </c>
      <c r="F3" s="168" t="s">
        <v>607</v>
      </c>
      <c r="G3" s="54"/>
      <c r="H3" s="61">
        <v>364.267</v>
      </c>
      <c r="I3" s="57"/>
      <c r="J3" s="56" t="s">
        <v>193</v>
      </c>
      <c r="K3" s="54"/>
      <c r="L3" s="58">
        <v>243.1</v>
      </c>
    </row>
    <row r="4" spans="1:12" ht="30" x14ac:dyDescent="0.25">
      <c r="B4" s="169" t="s">
        <v>614</v>
      </c>
      <c r="C4" s="54"/>
      <c r="D4" s="307">
        <v>376.62</v>
      </c>
      <c r="F4" s="169" t="str">
        <f>B4</f>
        <v>10/2026 PPI</v>
      </c>
      <c r="G4" s="54"/>
      <c r="H4" s="307">
        <f>D4</f>
        <v>376.62</v>
      </c>
      <c r="I4" s="60"/>
      <c r="J4" s="59" t="str">
        <f>B4</f>
        <v>10/2026 PPI</v>
      </c>
      <c r="K4" s="54"/>
      <c r="L4" s="57">
        <f>D4</f>
        <v>376.62</v>
      </c>
    </row>
    <row r="5" spans="1:12" ht="30" x14ac:dyDescent="0.25">
      <c r="B5" s="170" t="s">
        <v>194</v>
      </c>
      <c r="C5" s="54"/>
      <c r="D5" s="61">
        <f>D4/D3</f>
        <v>1.166757540459491</v>
      </c>
      <c r="F5" s="170" t="s">
        <v>194</v>
      </c>
      <c r="G5" s="54"/>
      <c r="H5" s="61">
        <f>H4/H3</f>
        <v>1.0339119382211399</v>
      </c>
      <c r="I5" s="61"/>
      <c r="J5" s="59" t="s">
        <v>194</v>
      </c>
      <c r="K5" s="54"/>
      <c r="L5" s="61">
        <f>L4/L3</f>
        <v>1.5492389962978199</v>
      </c>
    </row>
    <row r="6" spans="1:12" ht="30" x14ac:dyDescent="0.25">
      <c r="B6" s="171" t="s">
        <v>195</v>
      </c>
      <c r="C6" s="54"/>
      <c r="D6" s="61">
        <f>ROUND(D5,3)</f>
        <v>1.167</v>
      </c>
      <c r="F6" s="171" t="s">
        <v>195</v>
      </c>
      <c r="G6" s="54"/>
      <c r="H6" s="61">
        <f>ROUND(H5,3)</f>
        <v>1.034</v>
      </c>
      <c r="I6" s="63"/>
      <c r="J6" s="62" t="s">
        <v>195</v>
      </c>
      <c r="K6" s="54"/>
      <c r="L6" s="63">
        <f>ROUND(L5,3)</f>
        <v>1.5489999999999999</v>
      </c>
    </row>
  </sheetData>
  <mergeCells count="2">
    <mergeCell ref="F1:H2"/>
    <mergeCell ref="A1:D1"/>
  </mergeCells>
  <hyperlinks>
    <hyperlink ref="D2" r:id="rId1" display="WPU141302" xr:uid="{525B6F18-E341-47F2-8F32-2E1736E2E6B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34</vt:i4>
      </vt:variant>
    </vt:vector>
  </HeadingPairs>
  <TitlesOfParts>
    <vt:vector size="53" baseType="lpstr">
      <vt:lpstr>Attachment 1 - Summary</vt:lpstr>
      <vt:lpstr>A (Item 2-G)</vt:lpstr>
      <vt:lpstr>A (Item 3-G)</vt:lpstr>
      <vt:lpstr>A (Item 3-EV)</vt:lpstr>
      <vt:lpstr>A (Item 4-G)</vt:lpstr>
      <vt:lpstr>A (Item 4-EV)</vt:lpstr>
      <vt:lpstr>A (Item 5-G)</vt:lpstr>
      <vt:lpstr>C (Item 1-D)</vt:lpstr>
      <vt:lpstr>C (Item 2-D)</vt:lpstr>
      <vt:lpstr>C (Item 2-EV)</vt:lpstr>
      <vt:lpstr>C (Item 3-D)</vt:lpstr>
      <vt:lpstr>C (Item 4-D)</vt:lpstr>
      <vt:lpstr>C (Item 4-EV)</vt:lpstr>
      <vt:lpstr>D (Item 1-D)</vt:lpstr>
      <vt:lpstr>D (Item 2-D)</vt:lpstr>
      <vt:lpstr>D (Item 3-D)</vt:lpstr>
      <vt:lpstr>D (Item 4-D)</vt:lpstr>
      <vt:lpstr>D (Item 5-D)</vt:lpstr>
      <vt:lpstr>PPI Adj</vt:lpstr>
      <vt:lpstr>'A (Item 3-EV)'!Print_Area</vt:lpstr>
      <vt:lpstr>'A (Item 3-G)'!Print_Area</vt:lpstr>
      <vt:lpstr>'A (Item 4-EV)'!Print_Area</vt:lpstr>
      <vt:lpstr>'A (Item 4-G)'!Print_Area</vt:lpstr>
      <vt:lpstr>'A (Item 5-G)'!Print_Area</vt:lpstr>
      <vt:lpstr>'Attachment 1 - Summary'!Print_Area</vt:lpstr>
      <vt:lpstr>'C (Item 1-D)'!Print_Area</vt:lpstr>
      <vt:lpstr>'C (Item 2-D)'!Print_Area</vt:lpstr>
      <vt:lpstr>'C (Item 2-EV)'!Print_Area</vt:lpstr>
      <vt:lpstr>'C (Item 3-D)'!Print_Area</vt:lpstr>
      <vt:lpstr>'C (Item 4-D)'!Print_Area</vt:lpstr>
      <vt:lpstr>'C (Item 4-EV)'!Print_Area</vt:lpstr>
      <vt:lpstr>'D (Item 1-D)'!Print_Area</vt:lpstr>
      <vt:lpstr>'D (Item 2-D)'!Print_Area</vt:lpstr>
      <vt:lpstr>'D (Item 3-D)'!Print_Area</vt:lpstr>
      <vt:lpstr>'D (Item 4-D)'!Print_Area</vt:lpstr>
      <vt:lpstr>'D (Item 5-D)'!Print_Area</vt:lpstr>
      <vt:lpstr>'A (Item 2-G)'!Print_Titles</vt:lpstr>
      <vt:lpstr>'A (Item 3-EV)'!Print_Titles</vt:lpstr>
      <vt:lpstr>'A (Item 3-G)'!Print_Titles</vt:lpstr>
      <vt:lpstr>'A (Item 4-EV)'!Print_Titles</vt:lpstr>
      <vt:lpstr>'A (Item 4-G)'!Print_Titles</vt:lpstr>
      <vt:lpstr>'A (Item 5-G)'!Print_Titles</vt:lpstr>
      <vt:lpstr>'C (Item 1-D)'!Print_Titles</vt:lpstr>
      <vt:lpstr>'C (Item 2-D)'!Print_Titles</vt:lpstr>
      <vt:lpstr>'C (Item 2-EV)'!Print_Titles</vt:lpstr>
      <vt:lpstr>'C (Item 3-D)'!Print_Titles</vt:lpstr>
      <vt:lpstr>'C (Item 4-D)'!Print_Titles</vt:lpstr>
      <vt:lpstr>'C (Item 4-EV)'!Print_Titles</vt:lpstr>
      <vt:lpstr>'D (Item 1-D)'!Print_Titles</vt:lpstr>
      <vt:lpstr>'D (Item 2-D)'!Print_Titles</vt:lpstr>
      <vt:lpstr>'D (Item 3-D)'!Print_Titles</vt:lpstr>
      <vt:lpstr>'D (Item 4-D)'!Print_Titles</vt:lpstr>
      <vt:lpstr>'D (Item 5-D)'!Print_Titles</vt:lpstr>
    </vt:vector>
  </TitlesOfParts>
  <Company>New York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Jones, Matthew</dc:creator>
  <cp:lastModifiedBy>Li, Cheung (OGS)</cp:lastModifiedBy>
  <cp:lastPrinted>2016-09-22T15:24:18Z</cp:lastPrinted>
  <dcterms:created xsi:type="dcterms:W3CDTF">2015-03-13T14:08:01Z</dcterms:created>
  <dcterms:modified xsi:type="dcterms:W3CDTF">2026-10-15T13:35:24Z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518121192</vt:i4>
  </property>
  <property fmtid="{D5CDD505-2E9C-101B-9397-08002B2CF9AE}" pid="4" name="_EmailSubject">
    <vt:lpwstr>22945 Price Pages</vt:lpwstr>
  </property>
  <property fmtid="{D5CDD505-2E9C-101B-9397-08002B2CF9AE}" pid="5" name="_AuthorEmail">
    <vt:lpwstr>Edward.Sawicki@dot.ny.gov</vt:lpwstr>
  </property>
  <property fmtid="{D5CDD505-2E9C-101B-9397-08002B2CF9AE}" pid="6" name="_AuthorEmailDisplayName">
    <vt:lpwstr>Sawicki, Edward J (DOT)</vt:lpwstr>
  </property>
  <property fmtid="{D5CDD505-2E9C-101B-9397-08002B2CF9AE}" pid="7" name="_ReviewingToolsShownOnce">
    <vt:lpwstr/>
  </property>
</Properties>
</file>