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E96DE858-F0B6-463C-ACEB-D43F5DB3EF2B}" xr6:coauthVersionLast="47" xr6:coauthVersionMax="47" xr10:uidLastSave="{00000000-0000-0000-0000-000000000000}"/>
  <workbookProtection workbookAlgorithmName="SHA-512" workbookHashValue="MavYVNiN0sN1TBCf69hySRSCOr63UT5o8qey+rv8aAfK68fiBrKODwx+2tbOB9bq7EzQv8yuyIlxclQA78FJxg==" workbookSaltValue="ytv8piFUNSdtmkmudMVtyg==" workbookSpinCount="100000" lockStructure="1"/>
  <bookViews>
    <workbookView xWindow="-120" yWindow="-120" windowWidth="29040" windowHeight="15720" tabRatio="894" xr2:uid="{00000000-000D-0000-FFFF-FFFF00000000}"/>
  </bookViews>
  <sheets>
    <sheet name="Attachment 1 - Summary" sheetId="93" r:id="rId1"/>
    <sheet name="A (Item 2-G)" sheetId="123" r:id="rId2"/>
    <sheet name="A (Item 3-G)" sheetId="124" r:id="rId3"/>
    <sheet name="A (Item 3-EV)" sheetId="147" r:id="rId4"/>
    <sheet name="A (Item 4-G)" sheetId="104" r:id="rId5"/>
    <sheet name="A (Item 4-EV)" sheetId="149" r:id="rId6"/>
    <sheet name="DNU--A (Item 4-EV)_Ford" sheetId="143" state="hidden" r:id="rId7"/>
    <sheet name="DNU--A (Item 4-EV)_GM" sheetId="146" state="hidden" r:id="rId8"/>
    <sheet name="DNU_--A (Item 4-EV)_GM" sheetId="144" state="hidden" r:id="rId9"/>
    <sheet name="A (Item 5-G)" sheetId="125" r:id="rId10"/>
    <sheet name="C (Item 1-D)" sheetId="117" r:id="rId11"/>
    <sheet name="C (Item 2-D)" sheetId="118" r:id="rId12"/>
    <sheet name="C (Item 2-EV)" sheetId="150" r:id="rId13"/>
    <sheet name="C (Item 3-D)" sheetId="120" r:id="rId14"/>
    <sheet name="C (Item 4-D)" sheetId="121" r:id="rId15"/>
    <sheet name="DNU--C (Item 2-EV)" sheetId="145" state="hidden" r:id="rId16"/>
    <sheet name="C (Item 4-EV)" sheetId="122" r:id="rId17"/>
    <sheet name="D (Item 1-D)" sheetId="137" r:id="rId18"/>
    <sheet name="D (Item 2-D)" sheetId="138" r:id="rId19"/>
    <sheet name="D (Item 3-D)" sheetId="139" r:id="rId20"/>
    <sheet name="D (Item 4-D)" sheetId="140" r:id="rId21"/>
    <sheet name="D (Item 5-D)" sheetId="142" r:id="rId22"/>
    <sheet name="PPI Adj" sheetId="109" state="hidden" r:id="rId23"/>
  </sheets>
  <definedNames>
    <definedName name="_xlnm.Print_Area" localSheetId="3">'A (Item 3-EV)'!$A$3:$H$103</definedName>
    <definedName name="_xlnm.Print_Area" localSheetId="2">'A (Item 3-G)'!$A$1:$G$130</definedName>
    <definedName name="_xlnm.Print_Area" localSheetId="5">'A (Item 4-EV)'!$A$3:$J$103</definedName>
    <definedName name="_xlnm.Print_Area" localSheetId="4">'A (Item 4-G)'!$A$1:$G$130</definedName>
    <definedName name="_xlnm.Print_Area" localSheetId="9">'A (Item 5-G)'!$A$1:$G$130</definedName>
    <definedName name="_xlnm.Print_Area" localSheetId="0">'Attachment 1 - Summary'!$B$1:$G$14</definedName>
    <definedName name="_xlnm.Print_Area" localSheetId="10">'C (Item 1-D)'!$A$1:$F$135</definedName>
    <definedName name="_xlnm.Print_Area" localSheetId="11">'C (Item 2-D)'!$A$1:$F$135</definedName>
    <definedName name="_xlnm.Print_Area" localSheetId="12">'C (Item 2-EV)'!$A$3:$H$109</definedName>
    <definedName name="_xlnm.Print_Area" localSheetId="13">'C (Item 3-D)'!$A$1:$G$135</definedName>
    <definedName name="_xlnm.Print_Area" localSheetId="14">'C (Item 4-D)'!$A$1:$G$135</definedName>
    <definedName name="_xlnm.Print_Area" localSheetId="16">'C (Item 4-EV)'!$A$1:$F$127</definedName>
    <definedName name="_xlnm.Print_Area" localSheetId="17">'D (Item 1-D)'!$A$1:$G$134</definedName>
    <definedName name="_xlnm.Print_Area" localSheetId="18">'D (Item 2-D)'!$A$1:$G$134</definedName>
    <definedName name="_xlnm.Print_Area" localSheetId="19">'D (Item 3-D)'!$A$1:$G$134</definedName>
    <definedName name="_xlnm.Print_Area" localSheetId="20">'D (Item 4-D)'!$A$1:$G$134</definedName>
    <definedName name="_xlnm.Print_Area" localSheetId="21">'D (Item 5-D)'!$A$1:$H$134</definedName>
    <definedName name="_xlnm.Print_Area" localSheetId="8">'DNU_--A (Item 4-EV)_GM'!$A$1:$J$110</definedName>
    <definedName name="_xlnm.Print_Area" localSheetId="6">'DNU--A (Item 4-EV)_Ford'!$A$1:$H$103</definedName>
    <definedName name="_xlnm.Print_Area" localSheetId="7">'DNU--A (Item 4-EV)_GM'!$A$3:$H$103</definedName>
    <definedName name="_xlnm.Print_Area" localSheetId="15">'DNU--C (Item 2-EV)'!$A$1:$J$115</definedName>
    <definedName name="_xlnm.Print_Titles" localSheetId="1">'A (Item 2-G)'!$1:$3</definedName>
    <definedName name="_xlnm.Print_Titles" localSheetId="3">'A (Item 3-EV)'!$3:$3</definedName>
    <definedName name="_xlnm.Print_Titles" localSheetId="2">'A (Item 3-G)'!$1:$3</definedName>
    <definedName name="_xlnm.Print_Titles" localSheetId="5">'A (Item 4-EV)'!$3:$3</definedName>
    <definedName name="_xlnm.Print_Titles" localSheetId="4">'A (Item 4-G)'!$1:$3</definedName>
    <definedName name="_xlnm.Print_Titles" localSheetId="9">'A (Item 5-G)'!$1:$3</definedName>
    <definedName name="_xlnm.Print_Titles" localSheetId="10">'C (Item 1-D)'!$1:$3</definedName>
    <definedName name="_xlnm.Print_Titles" localSheetId="11">'C (Item 2-D)'!$1:$3</definedName>
    <definedName name="_xlnm.Print_Titles" localSheetId="12">'C (Item 2-EV)'!$3:$3</definedName>
    <definedName name="_xlnm.Print_Titles" localSheetId="13">'C (Item 3-D)'!$1:$3</definedName>
    <definedName name="_xlnm.Print_Titles" localSheetId="14">'C (Item 4-D)'!$1:$3</definedName>
    <definedName name="_xlnm.Print_Titles" localSheetId="16">'C (Item 4-EV)'!$1:$3</definedName>
    <definedName name="_xlnm.Print_Titles" localSheetId="17">'D (Item 1-D)'!$1:$3</definedName>
    <definedName name="_xlnm.Print_Titles" localSheetId="18">'D (Item 2-D)'!$1:$3</definedName>
    <definedName name="_xlnm.Print_Titles" localSheetId="19">'D (Item 3-D)'!$1:$3</definedName>
    <definedName name="_xlnm.Print_Titles" localSheetId="20">'D (Item 4-D)'!$1:$3</definedName>
    <definedName name="_xlnm.Print_Titles" localSheetId="21">'D (Item 5-D)'!$1:$3</definedName>
    <definedName name="_xlnm.Print_Titles" localSheetId="8">'DNU_--A (Item 4-EV)_GM'!$1:$3</definedName>
    <definedName name="_xlnm.Print_Titles" localSheetId="6">'DNU--A (Item 4-EV)_Ford'!$1:$3</definedName>
    <definedName name="_xlnm.Print_Titles" localSheetId="7">'DNU--A (Item 4-EV)_GM'!$3:$3</definedName>
    <definedName name="_xlnm.Print_Titles" localSheetId="15">'DNU--C (Item 2-EV)'!$1:$3</definedName>
    <definedName name="Z_FB9A4F81_F081_49F4_90CF_12DFB81B8806_.wvu.PrintArea" localSheetId="1" hidden="1">'A (Item 2-G)'!$A$3:$G$51</definedName>
    <definedName name="Z_FB9A4F81_F081_49F4_90CF_12DFB81B8806_.wvu.PrintArea" localSheetId="3" hidden="1">'A (Item 3-EV)'!$A$3:$H$52</definedName>
    <definedName name="Z_FB9A4F81_F081_49F4_90CF_12DFB81B8806_.wvu.PrintArea" localSheetId="2" hidden="1">'A (Item 3-G)'!$A$3:$F$51</definedName>
    <definedName name="Z_FB9A4F81_F081_49F4_90CF_12DFB81B8806_.wvu.PrintArea" localSheetId="5" hidden="1">'A (Item 4-EV)'!$A$3:$J$53</definedName>
    <definedName name="Z_FB9A4F81_F081_49F4_90CF_12DFB81B8806_.wvu.PrintArea" localSheetId="4" hidden="1">'A (Item 4-G)'!$A$3:$G$51</definedName>
    <definedName name="Z_FB9A4F81_F081_49F4_90CF_12DFB81B8806_.wvu.PrintArea" localSheetId="9" hidden="1">'A (Item 5-G)'!$A$3:$E$51</definedName>
    <definedName name="Z_FB9A4F81_F081_49F4_90CF_12DFB81B8806_.wvu.PrintArea" localSheetId="0" hidden="1">'Attachment 1 - Summary'!$B$1:$G$6</definedName>
    <definedName name="Z_FB9A4F81_F081_49F4_90CF_12DFB81B8806_.wvu.PrintArea" localSheetId="10" hidden="1">'C (Item 1-D)'!$A$3:$F$55</definedName>
    <definedName name="Z_FB9A4F81_F081_49F4_90CF_12DFB81B8806_.wvu.PrintArea" localSheetId="11" hidden="1">'C (Item 2-D)'!$A$3:$F$55</definedName>
    <definedName name="Z_FB9A4F81_F081_49F4_90CF_12DFB81B8806_.wvu.PrintArea" localSheetId="12" hidden="1">'C (Item 2-EV)'!$A$3:$H$58</definedName>
    <definedName name="Z_FB9A4F81_F081_49F4_90CF_12DFB81B8806_.wvu.PrintArea" localSheetId="13" hidden="1">'C (Item 3-D)'!$A$3:$F$55</definedName>
    <definedName name="Z_FB9A4F81_F081_49F4_90CF_12DFB81B8806_.wvu.PrintArea" localSheetId="14" hidden="1">'C (Item 4-D)'!$A$3:$G$55</definedName>
    <definedName name="Z_FB9A4F81_F081_49F4_90CF_12DFB81B8806_.wvu.PrintArea" localSheetId="17" hidden="1">'D (Item 1-D)'!$A$3:$G$54</definedName>
    <definedName name="Z_FB9A4F81_F081_49F4_90CF_12DFB81B8806_.wvu.PrintArea" localSheetId="18" hidden="1">'D (Item 2-D)'!$A$3:$G$54</definedName>
    <definedName name="Z_FB9A4F81_F081_49F4_90CF_12DFB81B8806_.wvu.PrintArea" localSheetId="19" hidden="1">'D (Item 3-D)'!$A$3:$G$54</definedName>
    <definedName name="Z_FB9A4F81_F081_49F4_90CF_12DFB81B8806_.wvu.PrintArea" localSheetId="20" hidden="1">'D (Item 4-D)'!$A$3:$G$54</definedName>
    <definedName name="Z_FB9A4F81_F081_49F4_90CF_12DFB81B8806_.wvu.PrintArea" localSheetId="21" hidden="1">'D (Item 5-D)'!$A$3:$H$54</definedName>
    <definedName name="Z_FB9A4F81_F081_49F4_90CF_12DFB81B8806_.wvu.PrintArea" localSheetId="8" hidden="1">'DNU_--A (Item 4-EV)_GM'!$A$1:$J$59</definedName>
    <definedName name="Z_FB9A4F81_F081_49F4_90CF_12DFB81B8806_.wvu.PrintArea" localSheetId="6" hidden="1">'DNU--A (Item 4-EV)_Ford'!$A$1:$H$53</definedName>
    <definedName name="Z_FB9A4F81_F081_49F4_90CF_12DFB81B8806_.wvu.PrintArea" localSheetId="7" hidden="1">'DNU--A (Item 4-EV)_GM'!$A$3:$H$53</definedName>
    <definedName name="Z_FB9A4F81_F081_49F4_90CF_12DFB81B8806_.wvu.PrintArea" localSheetId="15" hidden="1">'DNU--C (Item 2-EV)'!$A$1:$J$63</definedName>
    <definedName name="Z_FB9A4F81_F081_49F4_90CF_12DFB81B8806_.wvu.PrintTitles" localSheetId="1" hidden="1">'A (Item 2-G)'!$3:$3</definedName>
    <definedName name="Z_FB9A4F81_F081_49F4_90CF_12DFB81B8806_.wvu.PrintTitles" localSheetId="3" hidden="1">'A (Item 3-EV)'!$3:$3</definedName>
    <definedName name="Z_FB9A4F81_F081_49F4_90CF_12DFB81B8806_.wvu.PrintTitles" localSheetId="2" hidden="1">'A (Item 3-G)'!$3:$3</definedName>
    <definedName name="Z_FB9A4F81_F081_49F4_90CF_12DFB81B8806_.wvu.PrintTitles" localSheetId="5" hidden="1">'A (Item 4-EV)'!$3:$3</definedName>
    <definedName name="Z_FB9A4F81_F081_49F4_90CF_12DFB81B8806_.wvu.PrintTitles" localSheetId="4" hidden="1">'A (Item 4-G)'!$3:$3</definedName>
    <definedName name="Z_FB9A4F81_F081_49F4_90CF_12DFB81B8806_.wvu.PrintTitles" localSheetId="9" hidden="1">'A (Item 5-G)'!$3:$3</definedName>
    <definedName name="Z_FB9A4F81_F081_49F4_90CF_12DFB81B8806_.wvu.PrintTitles" localSheetId="10" hidden="1">'C (Item 1-D)'!$3:$3</definedName>
    <definedName name="Z_FB9A4F81_F081_49F4_90CF_12DFB81B8806_.wvu.PrintTitles" localSheetId="11" hidden="1">'C (Item 2-D)'!$3:$3</definedName>
    <definedName name="Z_FB9A4F81_F081_49F4_90CF_12DFB81B8806_.wvu.PrintTitles" localSheetId="12" hidden="1">'C (Item 2-EV)'!$3:$3</definedName>
    <definedName name="Z_FB9A4F81_F081_49F4_90CF_12DFB81B8806_.wvu.PrintTitles" localSheetId="13" hidden="1">'C (Item 3-D)'!$3:$3</definedName>
    <definedName name="Z_FB9A4F81_F081_49F4_90CF_12DFB81B8806_.wvu.PrintTitles" localSheetId="14" hidden="1">'C (Item 4-D)'!$3:$3</definedName>
    <definedName name="Z_FB9A4F81_F081_49F4_90CF_12DFB81B8806_.wvu.PrintTitles" localSheetId="17" hidden="1">'D (Item 1-D)'!$3:$3</definedName>
    <definedName name="Z_FB9A4F81_F081_49F4_90CF_12DFB81B8806_.wvu.PrintTitles" localSheetId="18" hidden="1">'D (Item 2-D)'!$3:$3</definedName>
    <definedName name="Z_FB9A4F81_F081_49F4_90CF_12DFB81B8806_.wvu.PrintTitles" localSheetId="19" hidden="1">'D (Item 3-D)'!$3:$3</definedName>
    <definedName name="Z_FB9A4F81_F081_49F4_90CF_12DFB81B8806_.wvu.PrintTitles" localSheetId="20" hidden="1">'D (Item 4-D)'!$3:$3</definedName>
    <definedName name="Z_FB9A4F81_F081_49F4_90CF_12DFB81B8806_.wvu.PrintTitles" localSheetId="21" hidden="1">'D (Item 5-D)'!$3:$3</definedName>
    <definedName name="Z_FB9A4F81_F081_49F4_90CF_12DFB81B8806_.wvu.PrintTitles" localSheetId="8" hidden="1">'DNU_--A (Item 4-EV)_GM'!$1:$3</definedName>
    <definedName name="Z_FB9A4F81_F081_49F4_90CF_12DFB81B8806_.wvu.PrintTitles" localSheetId="6" hidden="1">'DNU--A (Item 4-EV)_Ford'!$1:$3</definedName>
    <definedName name="Z_FB9A4F81_F081_49F4_90CF_12DFB81B8806_.wvu.PrintTitles" localSheetId="7" hidden="1">'DNU--A (Item 4-EV)_GM'!$3:$3</definedName>
    <definedName name="Z_FB9A4F81_F081_49F4_90CF_12DFB81B8806_.wvu.PrintTitles" localSheetId="15" hidden="1">'DNU--C (Item 2-EV)'!$1:$3</definedName>
    <definedName name="Z_FB9A4F81_F081_49F4_90CF_12DFB81B8806_.wvu.Rows" localSheetId="1" hidden="1">'A (Item 2-G)'!#REF!</definedName>
    <definedName name="Z_FB9A4F81_F081_49F4_90CF_12DFB81B8806_.wvu.Rows" localSheetId="3" hidden="1">'A (Item 3-EV)'!#REF!</definedName>
    <definedName name="Z_FB9A4F81_F081_49F4_90CF_12DFB81B8806_.wvu.Rows" localSheetId="2" hidden="1">'A (Item 3-G)'!#REF!</definedName>
    <definedName name="Z_FB9A4F81_F081_49F4_90CF_12DFB81B8806_.wvu.Rows" localSheetId="5" hidden="1">'A (Item 4-EV)'!#REF!</definedName>
    <definedName name="Z_FB9A4F81_F081_49F4_90CF_12DFB81B8806_.wvu.Rows" localSheetId="4" hidden="1">'A (Item 4-G)'!#REF!</definedName>
    <definedName name="Z_FB9A4F81_F081_49F4_90CF_12DFB81B8806_.wvu.Rows" localSheetId="9" hidden="1">'A (Item 5-G)'!#REF!</definedName>
    <definedName name="Z_FB9A4F81_F081_49F4_90CF_12DFB81B8806_.wvu.Rows" localSheetId="10" hidden="1">'C (Item 1-D)'!#REF!</definedName>
    <definedName name="Z_FB9A4F81_F081_49F4_90CF_12DFB81B8806_.wvu.Rows" localSheetId="11" hidden="1">'C (Item 2-D)'!#REF!</definedName>
    <definedName name="Z_FB9A4F81_F081_49F4_90CF_12DFB81B8806_.wvu.Rows" localSheetId="12" hidden="1">'C (Item 2-EV)'!#REF!</definedName>
    <definedName name="Z_FB9A4F81_F081_49F4_90CF_12DFB81B8806_.wvu.Rows" localSheetId="13" hidden="1">'C (Item 3-D)'!#REF!</definedName>
    <definedName name="Z_FB9A4F81_F081_49F4_90CF_12DFB81B8806_.wvu.Rows" localSheetId="14" hidden="1">'C (Item 4-D)'!#REF!</definedName>
    <definedName name="Z_FB9A4F81_F081_49F4_90CF_12DFB81B8806_.wvu.Rows" localSheetId="17" hidden="1">'D (Item 1-D)'!#REF!</definedName>
    <definedName name="Z_FB9A4F81_F081_49F4_90CF_12DFB81B8806_.wvu.Rows" localSheetId="18" hidden="1">'D (Item 2-D)'!#REF!</definedName>
    <definedName name="Z_FB9A4F81_F081_49F4_90CF_12DFB81B8806_.wvu.Rows" localSheetId="19" hidden="1">'D (Item 3-D)'!#REF!</definedName>
    <definedName name="Z_FB9A4F81_F081_49F4_90CF_12DFB81B8806_.wvu.Rows" localSheetId="20" hidden="1">'D (Item 4-D)'!#REF!</definedName>
    <definedName name="Z_FB9A4F81_F081_49F4_90CF_12DFB81B8806_.wvu.Rows" localSheetId="21" hidden="1">'D (Item 5-D)'!#REF!</definedName>
    <definedName name="Z_FB9A4F81_F081_49F4_90CF_12DFB81B8806_.wvu.Rows" localSheetId="8" hidden="1">'DNU_--A (Item 4-EV)_GM'!#REF!</definedName>
    <definedName name="Z_FB9A4F81_F081_49F4_90CF_12DFB81B8806_.wvu.Rows" localSheetId="6" hidden="1">'DNU--A (Item 4-EV)_Ford'!#REF!</definedName>
    <definedName name="Z_FB9A4F81_F081_49F4_90CF_12DFB81B8806_.wvu.Rows" localSheetId="7" hidden="1">'DNU--A (Item 4-EV)_GM'!#REF!</definedName>
    <definedName name="Z_FB9A4F81_F081_49F4_90CF_12DFB81B8806_.wvu.Rows" localSheetId="15" hidden="1">'DNU--C (Item 2-EV)'!#REF!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 i="109" l="1"/>
  <c r="J4" i="109"/>
  <c r="H4" i="109"/>
  <c r="F4" i="109"/>
  <c r="A1" i="150" l="1"/>
  <c r="A1" i="149"/>
  <c r="A1" i="147"/>
  <c r="L5" i="109" l="1"/>
  <c r="L6" i="109" s="1"/>
  <c r="A1" i="125"/>
  <c r="A1" i="142"/>
  <c r="A1" i="140"/>
  <c r="A1" i="139"/>
  <c r="A1" i="138"/>
  <c r="A1" i="137"/>
  <c r="A1" i="122"/>
  <c r="A1" i="121"/>
  <c r="A1" i="120"/>
  <c r="A1" i="118"/>
  <c r="A1" i="117"/>
  <c r="A1" i="104"/>
  <c r="A1" i="124"/>
  <c r="G102" i="150" l="1"/>
  <c r="G83" i="150"/>
  <c r="G102" i="149"/>
  <c r="G92" i="149"/>
  <c r="G96" i="147"/>
  <c r="G77" i="147"/>
  <c r="G101" i="150"/>
  <c r="G82" i="150"/>
  <c r="G100" i="149"/>
  <c r="G84" i="149"/>
  <c r="G95" i="147"/>
  <c r="G76" i="147"/>
  <c r="G114" i="150"/>
  <c r="G99" i="150"/>
  <c r="F23" i="150"/>
  <c r="G99" i="149"/>
  <c r="G80" i="149"/>
  <c r="G103" i="147"/>
  <c r="G93" i="147"/>
  <c r="G109" i="150"/>
  <c r="G98" i="150"/>
  <c r="F23" i="147"/>
  <c r="G98" i="149"/>
  <c r="G79" i="149"/>
  <c r="G102" i="147"/>
  <c r="G92" i="147"/>
  <c r="G108" i="150"/>
  <c r="G90" i="150"/>
  <c r="G110" i="149"/>
  <c r="G97" i="149"/>
  <c r="G78" i="149"/>
  <c r="G100" i="147"/>
  <c r="G84" i="147"/>
  <c r="G106" i="150"/>
  <c r="G86" i="150"/>
  <c r="G109" i="149"/>
  <c r="G96" i="149"/>
  <c r="G77" i="149"/>
  <c r="G99" i="147"/>
  <c r="G80" i="147"/>
  <c r="G105" i="150"/>
  <c r="G85" i="150"/>
  <c r="G108" i="149"/>
  <c r="G95" i="149"/>
  <c r="G76" i="149"/>
  <c r="G98" i="147"/>
  <c r="G79" i="147"/>
  <c r="G104" i="150"/>
  <c r="G84" i="150"/>
  <c r="G103" i="149"/>
  <c r="G93" i="149"/>
  <c r="F23" i="149"/>
  <c r="G97" i="147"/>
  <c r="G78" i="147"/>
  <c r="H5" i="109"/>
  <c r="H6" i="109" s="1"/>
  <c r="A2" i="150"/>
  <c r="A2" i="149"/>
  <c r="A2" i="147"/>
  <c r="A2" i="146" l="1"/>
  <c r="A2" i="143" l="1"/>
  <c r="A2" i="144"/>
  <c r="H87" i="145"/>
  <c r="H88" i="145"/>
  <c r="H89" i="145"/>
  <c r="H90" i="145"/>
  <c r="H91" i="145"/>
  <c r="H95" i="145"/>
  <c r="H103" i="145"/>
  <c r="H104" i="145"/>
  <c r="H106" i="145"/>
  <c r="H107" i="145"/>
  <c r="H108" i="145"/>
  <c r="H109" i="145"/>
  <c r="H110" i="145"/>
  <c r="H111" i="145"/>
  <c r="H113" i="145"/>
  <c r="H114" i="145"/>
  <c r="A2" i="145"/>
  <c r="F25" i="145"/>
  <c r="F29" i="145"/>
  <c r="F25" i="144"/>
  <c r="F29" i="144"/>
  <c r="H82" i="144"/>
  <c r="H83" i="144"/>
  <c r="H84" i="144"/>
  <c r="H85" i="144"/>
  <c r="H86" i="144"/>
  <c r="H90" i="144"/>
  <c r="H98" i="144"/>
  <c r="H99" i="144"/>
  <c r="H101" i="144"/>
  <c r="H102" i="144"/>
  <c r="H103" i="144"/>
  <c r="H104" i="144"/>
  <c r="H105" i="144"/>
  <c r="H106" i="144"/>
  <c r="H108" i="144"/>
  <c r="H109" i="144"/>
  <c r="I110" i="144" l="1"/>
  <c r="F26" i="144" s="1"/>
  <c r="F30" i="144" s="1"/>
  <c r="J115" i="145"/>
  <c r="F26" i="145" s="1"/>
  <c r="F30" i="145" s="1"/>
  <c r="D5" i="109" l="1"/>
  <c r="D6" i="109" s="1"/>
  <c r="F21" i="124" s="1"/>
  <c r="A2" i="120"/>
  <c r="A2" i="123"/>
  <c r="A2" i="124"/>
  <c r="A2" i="142" l="1"/>
  <c r="A2" i="140" l="1"/>
  <c r="A2" i="139"/>
  <c r="A2" i="138"/>
  <c r="A2" i="137"/>
  <c r="A2" i="122" l="1"/>
  <c r="A2" i="121"/>
  <c r="A2" i="118"/>
  <c r="A2" i="117"/>
  <c r="A2" i="125"/>
  <c r="P4" i="109" l="1"/>
  <c r="P5" i="109" s="1"/>
  <c r="P6" i="109" s="1"/>
  <c r="N4" i="109"/>
  <c r="G83" i="142" l="1"/>
  <c r="G92" i="142"/>
  <c r="G84" i="142"/>
  <c r="F92" i="142"/>
  <c r="F84" i="142"/>
  <c r="F100" i="140"/>
  <c r="F89" i="140"/>
  <c r="F93" i="139"/>
  <c r="F96" i="139"/>
  <c r="F86" i="139"/>
  <c r="F97" i="138"/>
  <c r="F88" i="138"/>
  <c r="F85" i="140"/>
  <c r="F99" i="139"/>
  <c r="F90" i="138"/>
  <c r="F98" i="142"/>
  <c r="F101" i="140"/>
  <c r="F97" i="139"/>
  <c r="F89" i="138"/>
  <c r="G101" i="142"/>
  <c r="G91" i="142"/>
  <c r="F101" i="142"/>
  <c r="F91" i="142"/>
  <c r="F83" i="142"/>
  <c r="F99" i="140"/>
  <c r="F88" i="140"/>
  <c r="F85" i="139"/>
  <c r="F95" i="139"/>
  <c r="F84" i="139"/>
  <c r="F96" i="138"/>
  <c r="F87" i="138"/>
  <c r="G99" i="142"/>
  <c r="G89" i="142"/>
  <c r="F89" i="142"/>
  <c r="F96" i="140"/>
  <c r="F101" i="138"/>
  <c r="F84" i="138"/>
  <c r="G97" i="142"/>
  <c r="G88" i="142"/>
  <c r="F88" i="142"/>
  <c r="F98" i="140"/>
  <c r="F84" i="140"/>
  <c r="F90" i="139"/>
  <c r="F92" i="138"/>
  <c r="G96" i="142"/>
  <c r="G87" i="142"/>
  <c r="F87" i="142"/>
  <c r="F93" i="140"/>
  <c r="F83" i="140"/>
  <c r="F89" i="139"/>
  <c r="F100" i="138"/>
  <c r="F21" i="138"/>
  <c r="G95" i="142"/>
  <c r="G86" i="142"/>
  <c r="F86" i="142"/>
  <c r="F21" i="140"/>
  <c r="F99" i="138"/>
  <c r="G85" i="142"/>
  <c r="F85" i="142"/>
  <c r="F98" i="139"/>
  <c r="F98" i="138"/>
  <c r="G100" i="142"/>
  <c r="G90" i="142"/>
  <c r="F100" i="142"/>
  <c r="F90" i="142"/>
  <c r="G21" i="142"/>
  <c r="F97" i="140"/>
  <c r="F87" i="140"/>
  <c r="F101" i="139"/>
  <c r="F92" i="139"/>
  <c r="F83" i="139"/>
  <c r="F95" i="138"/>
  <c r="F86" i="138"/>
  <c r="F98" i="137"/>
  <c r="F99" i="142"/>
  <c r="F21" i="142"/>
  <c r="F86" i="140"/>
  <c r="F91" i="139"/>
  <c r="F21" i="139"/>
  <c r="F93" i="138"/>
  <c r="G98" i="121"/>
  <c r="F97" i="142"/>
  <c r="F95" i="140"/>
  <c r="F101" i="137"/>
  <c r="F85" i="138"/>
  <c r="F83" i="138"/>
  <c r="F98" i="121"/>
  <c r="F96" i="142"/>
  <c r="F92" i="140"/>
  <c r="F100" i="139"/>
  <c r="F91" i="138"/>
  <c r="G98" i="142"/>
  <c r="F95" i="142"/>
  <c r="F91" i="140"/>
  <c r="F88" i="139"/>
  <c r="G93" i="142"/>
  <c r="F93" i="142"/>
  <c r="F90" i="140"/>
  <c r="F87" i="139"/>
  <c r="F95" i="137"/>
  <c r="F93" i="137"/>
  <c r="F100" i="137"/>
  <c r="F90" i="137"/>
  <c r="F96" i="137"/>
  <c r="F92" i="137"/>
  <c r="F91" i="137"/>
  <c r="F99" i="137"/>
  <c r="F97" i="137"/>
  <c r="F91" i="121"/>
  <c r="F101" i="121"/>
  <c r="G87" i="121"/>
  <c r="F86" i="137"/>
  <c r="F85" i="137"/>
  <c r="F91" i="122"/>
  <c r="F81" i="122"/>
  <c r="G100" i="121"/>
  <c r="G94" i="121"/>
  <c r="G90" i="121"/>
  <c r="G86" i="121"/>
  <c r="F21" i="137"/>
  <c r="F89" i="121"/>
  <c r="F85" i="122"/>
  <c r="G84" i="121"/>
  <c r="F84" i="122"/>
  <c r="F92" i="121"/>
  <c r="F83" i="122"/>
  <c r="G91" i="121"/>
  <c r="F82" i="122"/>
  <c r="F84" i="137"/>
  <c r="F89" i="122"/>
  <c r="F80" i="122"/>
  <c r="F100" i="121"/>
  <c r="F94" i="121"/>
  <c r="F90" i="121"/>
  <c r="F86" i="121"/>
  <c r="F21" i="122"/>
  <c r="F99" i="121"/>
  <c r="F85" i="121"/>
  <c r="F95" i="122"/>
  <c r="G97" i="121"/>
  <c r="G88" i="121"/>
  <c r="F94" i="122"/>
  <c r="F97" i="121"/>
  <c r="F88" i="121"/>
  <c r="F87" i="137"/>
  <c r="G101" i="121"/>
  <c r="G21" i="121"/>
  <c r="F96" i="121"/>
  <c r="F21" i="121"/>
  <c r="F83" i="137"/>
  <c r="F87" i="122"/>
  <c r="F79" i="122"/>
  <c r="G99" i="121"/>
  <c r="G93" i="121"/>
  <c r="G89" i="121"/>
  <c r="G85" i="121"/>
  <c r="F86" i="122"/>
  <c r="F93" i="121"/>
  <c r="F89" i="137"/>
  <c r="G102" i="121"/>
  <c r="G92" i="121"/>
  <c r="F88" i="137"/>
  <c r="F102" i="121"/>
  <c r="F84" i="121"/>
  <c r="F93" i="122"/>
  <c r="G96" i="121"/>
  <c r="F92" i="122"/>
  <c r="F87" i="121"/>
  <c r="G102" i="120"/>
  <c r="G92" i="120"/>
  <c r="G84" i="120"/>
  <c r="F93" i="120"/>
  <c r="F84" i="120"/>
  <c r="F99" i="118"/>
  <c r="F88" i="118"/>
  <c r="F100" i="117"/>
  <c r="F91" i="117"/>
  <c r="F21" i="117"/>
  <c r="F89" i="125"/>
  <c r="F80" i="125"/>
  <c r="F94" i="104"/>
  <c r="F84" i="104"/>
  <c r="F22" i="104"/>
  <c r="F89" i="124"/>
  <c r="F80" i="124"/>
  <c r="F93" i="123"/>
  <c r="F83" i="123"/>
  <c r="F21" i="123"/>
  <c r="F98" i="120"/>
  <c r="F88" i="120"/>
  <c r="F96" i="117"/>
  <c r="F21" i="125"/>
  <c r="F80" i="104"/>
  <c r="F22" i="124"/>
  <c r="F97" i="120"/>
  <c r="F21" i="118"/>
  <c r="F83" i="125"/>
  <c r="F93" i="124"/>
  <c r="G94" i="120"/>
  <c r="F86" i="120"/>
  <c r="F93" i="117"/>
  <c r="F96" i="104"/>
  <c r="F84" i="124"/>
  <c r="F77" i="123"/>
  <c r="F94" i="120"/>
  <c r="F92" i="117"/>
  <c r="F81" i="125"/>
  <c r="F90" i="124"/>
  <c r="F84" i="123"/>
  <c r="G101" i="120"/>
  <c r="G90" i="120"/>
  <c r="F102" i="120"/>
  <c r="F92" i="120"/>
  <c r="G21" i="120"/>
  <c r="F98" i="118"/>
  <c r="F87" i="118"/>
  <c r="F99" i="117"/>
  <c r="F90" i="117"/>
  <c r="F85" i="125"/>
  <c r="F88" i="125"/>
  <c r="F79" i="125"/>
  <c r="F93" i="104"/>
  <c r="F83" i="104"/>
  <c r="F21" i="104"/>
  <c r="F88" i="124"/>
  <c r="F79" i="124"/>
  <c r="F92" i="123"/>
  <c r="F82" i="123"/>
  <c r="G87" i="120"/>
  <c r="F91" i="118"/>
  <c r="F87" i="117"/>
  <c r="F89" i="104"/>
  <c r="F88" i="123"/>
  <c r="G86" i="120"/>
  <c r="F102" i="118"/>
  <c r="F86" i="117"/>
  <c r="F79" i="104"/>
  <c r="F78" i="123"/>
  <c r="F96" i="120"/>
  <c r="F90" i="118"/>
  <c r="F92" i="125"/>
  <c r="F78" i="104"/>
  <c r="G93" i="120"/>
  <c r="F100" i="118"/>
  <c r="F90" i="125"/>
  <c r="F77" i="104"/>
  <c r="F22" i="123"/>
  <c r="G100" i="120"/>
  <c r="G89" i="120"/>
  <c r="F101" i="120"/>
  <c r="F90" i="120"/>
  <c r="F21" i="120"/>
  <c r="F97" i="118"/>
  <c r="F86" i="118"/>
  <c r="F98" i="117"/>
  <c r="F89" i="117"/>
  <c r="F96" i="125"/>
  <c r="F87" i="125"/>
  <c r="F78" i="125"/>
  <c r="F92" i="104"/>
  <c r="F82" i="104"/>
  <c r="F96" i="124"/>
  <c r="F87" i="124"/>
  <c r="F78" i="124"/>
  <c r="F91" i="123"/>
  <c r="F81" i="123"/>
  <c r="G97" i="120"/>
  <c r="F84" i="118"/>
  <c r="F84" i="125"/>
  <c r="F82" i="124"/>
  <c r="F99" i="120"/>
  <c r="F87" i="120"/>
  <c r="F94" i="117"/>
  <c r="F22" i="125"/>
  <c r="F86" i="124"/>
  <c r="G91" i="120"/>
  <c r="F101" i="118"/>
  <c r="F85" i="117"/>
  <c r="F87" i="104"/>
  <c r="F95" i="123"/>
  <c r="F91" i="120"/>
  <c r="F101" i="117"/>
  <c r="F95" i="104"/>
  <c r="F81" i="124"/>
  <c r="G98" i="120"/>
  <c r="G88" i="120"/>
  <c r="F100" i="120"/>
  <c r="F89" i="120"/>
  <c r="F94" i="118"/>
  <c r="F96" i="118"/>
  <c r="F85" i="118"/>
  <c r="F97" i="117"/>
  <c r="F88" i="117"/>
  <c r="F95" i="125"/>
  <c r="F86" i="125"/>
  <c r="F77" i="125"/>
  <c r="F90" i="104"/>
  <c r="F81" i="104"/>
  <c r="F95" i="124"/>
  <c r="F83" i="124"/>
  <c r="F77" i="124"/>
  <c r="F89" i="123"/>
  <c r="F80" i="123"/>
  <c r="G99" i="120"/>
  <c r="F93" i="118"/>
  <c r="F94" i="125"/>
  <c r="F94" i="124"/>
  <c r="F79" i="123"/>
  <c r="G96" i="120"/>
  <c r="F92" i="118"/>
  <c r="F93" i="125"/>
  <c r="F88" i="104"/>
  <c r="F87" i="123"/>
  <c r="G85" i="120"/>
  <c r="F102" i="117"/>
  <c r="F82" i="125"/>
  <c r="F92" i="124"/>
  <c r="F86" i="123"/>
  <c r="F85" i="120"/>
  <c r="F89" i="118"/>
  <c r="F84" i="117"/>
  <c r="F86" i="104"/>
  <c r="F94" i="123"/>
  <c r="A2" i="104"/>
</calcChain>
</file>

<file path=xl/sharedStrings.xml><?xml version="1.0" encoding="utf-8"?>
<sst xmlns="http://schemas.openxmlformats.org/spreadsheetml/2006/main" count="5852" uniqueCount="675">
  <si>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</si>
  <si>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</si>
  <si>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</si>
  <si>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</si>
  <si>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</si>
  <si>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</si>
  <si>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</si>
  <si>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</si>
  <si>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</si>
  <si>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</si>
  <si>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</si>
  <si>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</si>
  <si>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</si>
  <si>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</si>
  <si>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</si>
  <si>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</si>
  <si>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</si>
  <si>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</si>
  <si>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</si>
  <si>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</si>
  <si>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</si>
  <si>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</si>
  <si>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</si>
  <si>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</si>
  <si>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</si>
  <si>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</si>
  <si>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</si>
  <si>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</si>
  <si>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</si>
  <si>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</si>
  <si>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</si>
  <si>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</si>
  <si>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</si>
  <si>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</si>
  <si>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</si>
  <si>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</si>
  <si>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</si>
  <si>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</si>
  <si>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</si>
  <si>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</si>
  <si>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</si>
  <si>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</si>
  <si>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</si>
  <si>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</si>
  <si>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</si>
  <si>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</si>
  <si>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</si>
  <si>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</si>
  <si>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</si>
  <si>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</si>
  <si>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</si>
  <si>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</si>
  <si>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</si>
  <si>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</si>
  <si>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</si>
  <si>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</si>
  <si>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</si>
  <si>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</si>
  <si>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</si>
  <si>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</si>
  <si>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</si>
  <si>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</si>
  <si>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</si>
  <si>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</si>
  <si>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</si>
  <si>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</si>
  <si>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</si>
  <si>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</si>
  <si>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</si>
  <si>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</si>
  <si>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</si>
  <si>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</si>
  <si>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</si>
  <si>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</si>
  <si>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</si>
  <si>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</si>
  <si>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</si>
  <si>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</si>
  <si>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</si>
  <si>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</si>
  <si>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</si>
  <si>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</si>
  <si>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</si>
  <si>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</si>
  <si>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</si>
  <si>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</si>
  <si>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</si>
  <si>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</si>
  <si>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</si>
  <si>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</si>
  <si>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</si>
  <si>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</si>
  <si>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</si>
  <si>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</si>
  <si>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</si>
  <si>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</si>
  <si>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</si>
  <si>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</si>
  <si>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</si>
  <si>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</si>
  <si>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</si>
  <si>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</si>
  <si>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</si>
  <si>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</si>
  <si>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</si>
  <si>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</si>
  <si>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</si>
  <si>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</si>
  <si>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</si>
  <si>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</si>
  <si>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</si>
  <si>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</si>
  <si>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</si>
  <si>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</si>
  <si>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</si>
  <si>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</si>
  <si>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</si>
  <si>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</si>
  <si>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</si>
  <si>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</si>
  <si>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</si>
  <si>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</si>
  <si>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</si>
  <si>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</si>
  <si>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</si>
  <si>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</si>
  <si>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</si>
  <si>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</si>
  <si>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</si>
  <si>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</si>
  <si>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</si>
  <si>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</si>
  <si>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</si>
  <si>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</si>
  <si>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</si>
  <si>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</si>
  <si>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</si>
  <si>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</si>
  <si>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</si>
  <si>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</si>
  <si>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</si>
  <si>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</si>
  <si>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</si>
  <si>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</si>
  <si>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</si>
  <si>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</si>
  <si>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</si>
  <si>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</si>
  <si>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</si>
  <si>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</si>
  <si>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</si>
  <si>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</si>
  <si>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</si>
  <si>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</si>
  <si>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</si>
  <si>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</si>
  <si>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</si>
  <si>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</si>
  <si>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</si>
  <si>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</si>
  <si>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</si>
  <si>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</si>
  <si>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</si>
  <si>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</si>
  <si>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</si>
  <si>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</si>
  <si>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</si>
  <si>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</si>
  <si>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</si>
  <si>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</si>
  <si>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</si>
  <si>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</si>
  <si>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</si>
  <si>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</si>
  <si>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</si>
  <si>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</si>
  <si>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</si>
  <si>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</si>
  <si>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</si>
  <si>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</si>
  <si>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Ford</t>
  </si>
  <si>
    <t>Not Available</t>
  </si>
  <si>
    <t>Tab Name</t>
  </si>
  <si>
    <t>Included in Base Item</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</si>
  <si>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</si>
  <si>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</si>
  <si>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</si>
  <si>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</si>
  <si>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</si>
  <si>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</si>
  <si>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</si>
  <si>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</si>
  <si>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</si>
  <si>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</si>
  <si>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</si>
  <si>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</si>
  <si>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</si>
  <si>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</si>
  <si>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</si>
  <si>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</si>
  <si>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</si>
  <si>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</si>
  <si>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</si>
  <si>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</si>
  <si>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</si>
  <si>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</si>
  <si>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</si>
  <si>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</si>
  <si>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</si>
  <si>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</si>
  <si>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</si>
  <si>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</si>
  <si>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</si>
  <si>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</si>
  <si>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</si>
  <si>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</si>
  <si>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</si>
  <si>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</si>
  <si>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</si>
  <si>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</si>
  <si>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</si>
  <si>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</si>
  <si>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</si>
  <si>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</si>
  <si>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</si>
  <si>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</si>
  <si>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</si>
  <si>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</si>
  <si>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</si>
  <si>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</si>
  <si>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</si>
  <si>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</si>
  <si>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</si>
  <si>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</si>
  <si>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C (Item 1-D)</t>
  </si>
  <si>
    <t xml:space="preserve">Lot C (Item 1-D): Type C, Conventional Bus </t>
  </si>
  <si>
    <t>C (Item 2-D)</t>
  </si>
  <si>
    <t xml:space="preserve">Lot C (Item 2-D): Type C, Conventional Bus </t>
  </si>
  <si>
    <t>Minimum 46</t>
  </si>
  <si>
    <t>C (Item 3-D)</t>
  </si>
  <si>
    <t>Minimum 58</t>
  </si>
  <si>
    <t>C (Item 4-D)</t>
  </si>
  <si>
    <t>Lot C (Item 3-D): Type C, Conventional Bus</t>
  </si>
  <si>
    <t>Lot C (Item 4-D): Type C, Conventional Bus</t>
  </si>
  <si>
    <t>Minimum 64</t>
  </si>
  <si>
    <t>C (Item 4-EV)</t>
  </si>
  <si>
    <t>Lot C (Item 4-EV): Type C, Conventional Bus</t>
  </si>
  <si>
    <t>Number and location of fuel tanks:</t>
  </si>
  <si>
    <t>Capacity [gallons/cu. ft.]:</t>
  </si>
  <si>
    <t>Diesel and gasoline engine Base Items shall have a thirty (30) gallon fuel capacity. LPG and CNG shall have the minimum construction and protection required by NFPA</t>
  </si>
  <si>
    <t>Cold Cranking Amp (CCA) 
rating of each battery at 0oF</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</si>
  <si>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</si>
  <si>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</si>
  <si>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</si>
  <si>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</si>
  <si>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</si>
  <si>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</si>
  <si>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</si>
  <si>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t>
  </si>
  <si>
    <t>Type C, 28 Pupil Conventional Front-Engine Bus 
(Diesel, Minimum 28 Pupils)</t>
  </si>
  <si>
    <t>LOT C (Item 1-D)</t>
  </si>
  <si>
    <t xml:space="preserve">Minimum forty-six (46) Pupils. </t>
  </si>
  <si>
    <t>Type C, 46 Pupil Conventional Front-Engine Bus 
(Diesel, Minimum 46 Pupils)</t>
  </si>
  <si>
    <t>LOT C (Item 2-D)</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</si>
  <si>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</si>
  <si>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</si>
  <si>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</si>
  <si>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</si>
  <si>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 xml:space="preserve">Minimum sixty-four (64) Pupils. </t>
  </si>
  <si>
    <t>Type C, 64 Pupil Conventional Front-Engine Bus 
(Diesel, Minimum 64 Pupils)</t>
  </si>
  <si>
    <t>LOT C (Item 4-D)</t>
  </si>
  <si>
    <t>LOT C (Item 4-EV)</t>
  </si>
  <si>
    <t>Delete Exterior LED Lamps</t>
  </si>
  <si>
    <t>08/2022 PPI</t>
  </si>
  <si>
    <t>Provide information on power source for air conditioning unit(s). (Propulsion Battery(ies), Auxiliary Battery(ies) or Fuel Source)</t>
  </si>
  <si>
    <t>Propulsion Batteries</t>
  </si>
  <si>
    <t>Minimum 20</t>
  </si>
  <si>
    <t>A (Item 4-G)</t>
  </si>
  <si>
    <t>A (Item 5-G)</t>
  </si>
  <si>
    <t>A (Item 3-G)</t>
  </si>
  <si>
    <t>A (Item 2-G)</t>
  </si>
  <si>
    <t>Minimum 16</t>
  </si>
  <si>
    <t>Minimum 30</t>
  </si>
  <si>
    <t>Lot A (Item 5-G): Type A-2, DRW, Cutaway, 5 Rows</t>
  </si>
  <si>
    <t>Lot A (Item 4-G): Type A-2, DRW, Cutaway, 4 Rows</t>
  </si>
  <si>
    <t>Lot A (Item 3-G): Type A-2, DRW, Cutaway, 4 Rows</t>
  </si>
  <si>
    <t>Lot A (Item 2-G): Type A-1, SRW, Cutaway, 4 Rows</t>
  </si>
  <si>
    <t>Minimum 77</t>
  </si>
  <si>
    <t>E-350</t>
  </si>
  <si>
    <t>Minimum five (5) rows for thirty (30) Pupils.</t>
  </si>
  <si>
    <t>Type A-2, DRW, Cutaway, 5 Rows
(Gasoline; Minimum 30 Pupils)</t>
  </si>
  <si>
    <t>Lot D (Item 1-D): Type D, Forward Control Transit Style Bus</t>
  </si>
  <si>
    <t>D (Item 1-D)</t>
  </si>
  <si>
    <t>D (Item 2-D)</t>
  </si>
  <si>
    <t>D (Item 3-D)</t>
  </si>
  <si>
    <t>D (Item 4-D)</t>
  </si>
  <si>
    <t>D (Item 5-D)</t>
  </si>
  <si>
    <t>Minimum 65</t>
  </si>
  <si>
    <t>Minimum 72</t>
  </si>
  <si>
    <t>Lot D (Item 2-D): Type D, Forward Control Transit Style Bus</t>
  </si>
  <si>
    <t>Lot D (Item 3-D): Type D, Forward Control Transit Style Bus</t>
  </si>
  <si>
    <t>Lot D (Item 4-D): Type D, Rear Engine (Pusher) Bus</t>
  </si>
  <si>
    <t>Lot D (Item 5-D): Type D, Rear Engine (Pusher) Bus</t>
  </si>
  <si>
    <t>Gasoline, LPG</t>
  </si>
  <si>
    <t>General Motors</t>
  </si>
  <si>
    <t>XLP</t>
  </si>
  <si>
    <t>YLP</t>
  </si>
  <si>
    <t>Limited Slip</t>
  </si>
  <si>
    <t>XHF</t>
  </si>
  <si>
    <t>238"</t>
  </si>
  <si>
    <t>A School Bus with a Body installed upon a Chassis or unitized type construction, with the engine mounted in the front with a GVWR of greater than 16,000 pounds and designed to carry more than 10 persons. The engine shall be behind the windshield and beside the driver’s seat. The entrance door is ahead of the front wheels.</t>
  </si>
  <si>
    <t>LOT D (Item 1-D)</t>
  </si>
  <si>
    <t xml:space="preserve">Minimum sixty-five (65) Pupils. </t>
  </si>
  <si>
    <t>Type D, 65 Pupil Forward Control Transit Style Bus
(Diesel; Minimum 65 Pupils)</t>
  </si>
  <si>
    <t>LOT D (Item 2-D)</t>
  </si>
  <si>
    <t xml:space="preserve">Minimum seventy-seven (77) Pupils. </t>
  </si>
  <si>
    <t>Type D, 77 Pupil Forward Control Transit Style Bus
(Diesel; Minimum 77 Pupils)</t>
  </si>
  <si>
    <t>LOT D (Item 3-D)</t>
  </si>
  <si>
    <t>Shall include lower glass, and shall be located on side of the School Bus.</t>
  </si>
  <si>
    <t>A School Bus with a Body installed upon a Chassis or unitized type construction, with the engine mounted in the rear with a GVWR of greater than 16,000 pounds and designed to carry more than 10 persons. The engine shall be at the rear of the bus, behind the rear wheels. The entrance door is ahead of the front wheels.</t>
  </si>
  <si>
    <t>Type D, 65 Pupil Rear Engine (Pusher) Bus
(Diesel; Minimum 65 Pupils)</t>
  </si>
  <si>
    <t>LOT D (Item 4-D)</t>
  </si>
  <si>
    <t>Type D, 53 Pupil Forward Control Transit Style Bus
(Diesel; Minimum 24 Pupils, Maximum 64 Pupils)</t>
  </si>
  <si>
    <t>Air</t>
  </si>
  <si>
    <t xml:space="preserve">Minimum seventy-two (72) Pupils. </t>
  </si>
  <si>
    <t>Type D, 72 Pupil Rear Engine (Pusher) Bus
(Diesel; Minimum 72 Pupils)</t>
  </si>
  <si>
    <t>LOT D (Item 5-D)</t>
  </si>
  <si>
    <t xml:space="preserve">Minimum twenty-four (24) Pupils. </t>
  </si>
  <si>
    <t>Diesel, CNG</t>
  </si>
  <si>
    <t>General Motors / Thomas</t>
  </si>
  <si>
    <t>General Motors / 
Thomas</t>
  </si>
  <si>
    <t>LV1, GM 4.3L Vortec, 6 cylinders, 4.3L, 276HP@5200, 298 LB FT Torque @ 3800</t>
  </si>
  <si>
    <t>1623-NY-16-00WC-TBB</t>
  </si>
  <si>
    <t>CG33503</t>
  </si>
  <si>
    <t>Thomas</t>
  </si>
  <si>
    <t>Minotour</t>
  </si>
  <si>
    <t>041LS</t>
  </si>
  <si>
    <t>LT245/75R16E</t>
  </si>
  <si>
    <t>2205 each</t>
  </si>
  <si>
    <t>3042 each</t>
  </si>
  <si>
    <t>Bridgestone Hwy</t>
  </si>
  <si>
    <t>w/O.D.</t>
  </si>
  <si>
    <t>MYD, GM 3L90</t>
  </si>
  <si>
    <t>KW5, GM Delco</t>
  </si>
  <si>
    <t>TP2</t>
  </si>
  <si>
    <t>600 CCA,770 CCA</t>
  </si>
  <si>
    <t>O/O manual, 24"</t>
  </si>
  <si>
    <t>Specialty 7970</t>
  </si>
  <si>
    <t>Weldon 7000</t>
  </si>
  <si>
    <t>Child Check-Mate EP2</t>
  </si>
  <si>
    <t>no-spin rear</t>
  </si>
  <si>
    <t>3042 lbs each</t>
  </si>
  <si>
    <t>103-01C2A</t>
  </si>
  <si>
    <t>Bridgestone M700HD</t>
  </si>
  <si>
    <t>2205  lbs each</t>
  </si>
  <si>
    <t>103-01C2C</t>
  </si>
  <si>
    <t>Bridgestone R500HD</t>
  </si>
  <si>
    <t>Plywood with recessed L-Track</t>
  </si>
  <si>
    <t>Braun NCL919FIB-2</t>
  </si>
  <si>
    <t>800 lbs</t>
  </si>
  <si>
    <t>Thomas TBB138592</t>
  </si>
  <si>
    <t>Seon TL2-1</t>
  </si>
  <si>
    <t>99S Ford Triton V8, 10 cylinder,7.3L,325HP @ 4250 RPM, 450LBFT torque @ 3750 RPM</t>
  </si>
  <si>
    <t>1462-NY-20-00WC-TBB</t>
  </si>
  <si>
    <t>E3F</t>
  </si>
  <si>
    <t>041MS</t>
  </si>
  <si>
    <t>210 days</t>
  </si>
  <si>
    <t>Ford / Thomas</t>
  </si>
  <si>
    <t>LT225/75R16E</t>
  </si>
  <si>
    <t>T67</t>
  </si>
  <si>
    <t>44P, Ford 6R140</t>
  </si>
  <si>
    <t>63N, Ford Motorcraft</t>
  </si>
  <si>
    <t>63G</t>
  </si>
  <si>
    <t>750 CCA</t>
  </si>
  <si>
    <t>103-01C2B</t>
  </si>
  <si>
    <t>Specialty 9245</t>
  </si>
  <si>
    <t>Thomas TBB 138592</t>
  </si>
  <si>
    <t xml:space="preserve">Electric </t>
  </si>
  <si>
    <t>L8T, GM 6.6L Vortec, 8 Cylinders, 6.6L,401 HP @5200 RPM,464 LBFT Torque @ 4000 RPM</t>
  </si>
  <si>
    <t>1642-NY-24-00WC-TBB</t>
  </si>
  <si>
    <t>YHF</t>
  </si>
  <si>
    <t>MYD, GM 6L90</t>
  </si>
  <si>
    <t>TF2</t>
  </si>
  <si>
    <t xml:space="preserve">600 CCA,770 CCA </t>
  </si>
  <si>
    <t>No-spin</t>
  </si>
  <si>
    <t>1553-NY-30-00WC-TBB</t>
  </si>
  <si>
    <t>CG33803</t>
  </si>
  <si>
    <t>051MS</t>
  </si>
  <si>
    <t>600 CCA, 770 CCA</t>
  </si>
  <si>
    <t>Freightliner / Thomas</t>
  </si>
  <si>
    <t>FL-101-2N2 Cummins ISB, 6 Cylinders, 6.7L, 200HP @ 2300 RPM, 520 LBFT Torque @ 1600 RPM</t>
  </si>
  <si>
    <t>1536-NY-30-00WC-TBB</t>
  </si>
  <si>
    <t>Freightliner</t>
  </si>
  <si>
    <t>B2</t>
  </si>
  <si>
    <t>B2106</t>
  </si>
  <si>
    <t>C2</t>
  </si>
  <si>
    <t>161TS</t>
  </si>
  <si>
    <t>25 CFM, Bendix AD9</t>
  </si>
  <si>
    <t>10R22.5(G)</t>
  </si>
  <si>
    <t>FL-093-1HE</t>
  </si>
  <si>
    <t>Bridgestone Ecopia</t>
  </si>
  <si>
    <t>FL-094-1HW</t>
  </si>
  <si>
    <t>FL3421MJ Allison2500</t>
  </si>
  <si>
    <t>FL1241DM, 4939, Leece Neville</t>
  </si>
  <si>
    <t>FL-292-1D7</t>
  </si>
  <si>
    <t>2775 CCA</t>
  </si>
  <si>
    <t>O/O Air, 26"</t>
  </si>
  <si>
    <t>1 BFR, Aft of Axle</t>
  </si>
  <si>
    <t>Specialty 2970</t>
  </si>
  <si>
    <t>Weldon 2121-1100-12</t>
  </si>
  <si>
    <t>No-Spin</t>
  </si>
  <si>
    <t>FL-094-12E</t>
  </si>
  <si>
    <t>Hankook DH37</t>
  </si>
  <si>
    <t>11R22.5(H)</t>
  </si>
  <si>
    <t>FL-093-1RK</t>
  </si>
  <si>
    <t>Michelin XZY-3</t>
  </si>
  <si>
    <t>FL-094-1RK</t>
  </si>
  <si>
    <t>Plywood with Recessed L Track</t>
  </si>
  <si>
    <t>Plywood with Continuous L Track</t>
  </si>
  <si>
    <t>Braun NCL917IB-2</t>
  </si>
  <si>
    <t>Webasto Scholastic</t>
  </si>
  <si>
    <t>45,000 VTU/H</t>
  </si>
  <si>
    <t>1478-NY-48-00WC-TBB</t>
  </si>
  <si>
    <t>221TS</t>
  </si>
  <si>
    <t>18.7 CFM Cummins</t>
  </si>
  <si>
    <t>25 CFM Bendix AD9</t>
  </si>
  <si>
    <t>O/O air 26"</t>
  </si>
  <si>
    <t>35gal</t>
  </si>
  <si>
    <t>1, BFR, Aft of Axle</t>
  </si>
  <si>
    <t>CNG</t>
  </si>
  <si>
    <t>1400-NY-60-00WC-TBB</t>
  </si>
  <si>
    <t>FL-101-27T Cummins B6.7N 6 Cylinders, 6.7L, 200HP @ 2400RPM, 520LB/FT Torque @ 1600RPM</t>
  </si>
  <si>
    <t>281TS</t>
  </si>
  <si>
    <t>60gal</t>
  </si>
  <si>
    <t>CNG: 2 left 2 right, fwd of axle | LPG: 2, BFR, Aft of Axle</t>
  </si>
  <si>
    <t>45,000 BTU/H</t>
  </si>
  <si>
    <t>1559-NY-64-00WC-TBB</t>
  </si>
  <si>
    <t>LPG: 2 tanks, BFR fwd of axle | CNG: 2 LEFT, 2 RIGHT, fwd of axle</t>
  </si>
  <si>
    <t>Type C, 64 Pupil Conventional Bus 
(Electric, Minimum 64 Pupils)</t>
  </si>
  <si>
    <t>Enter information identifying the Make and Model propulsion system offered.</t>
  </si>
  <si>
    <t>Proterra ProDrive UQM220P; 3 Phase Max 400V Single 220kW Permanent Magnet Drive Motor 295 Peak HP Continuous 161HP, Peak Torque 516 Ft Continuus 258FTLB</t>
  </si>
  <si>
    <t>B2 106 Electrical Conventional</t>
  </si>
  <si>
    <t>281T</t>
  </si>
  <si>
    <t>210 Days</t>
  </si>
  <si>
    <t>Hydrovane 0009-0010 9CFM @2800 RMP</t>
  </si>
  <si>
    <t>11R22.5H</t>
  </si>
  <si>
    <t>FL-093-2EP</t>
  </si>
  <si>
    <t>Hankook AH24</t>
  </si>
  <si>
    <t>FL-094-2EU</t>
  </si>
  <si>
    <t>Hankook DH06</t>
  </si>
  <si>
    <t>FL-342-627 Eaton 2 Speed Electric Vehicle</t>
  </si>
  <si>
    <t>Alliance 1031, Group 31, 12 Volt</t>
  </si>
  <si>
    <t>O/O AG2 Electric 26"</t>
  </si>
  <si>
    <t>First Light Illuminated</t>
  </si>
  <si>
    <t>Propulsion Battery</t>
  </si>
  <si>
    <t>FL-094-1UY</t>
  </si>
  <si>
    <t>Michelin XDS2</t>
  </si>
  <si>
    <t>800 Pounds</t>
  </si>
  <si>
    <t>SEON TL2-1</t>
  </si>
  <si>
    <t>C241014200,Cummins ISB 6 Cylinders,6.7L 200HP @ 2300RPM,520 LBFT Torque @ 1600 RPM</t>
  </si>
  <si>
    <t>1610-NY-53-00WC-TBB</t>
  </si>
  <si>
    <t>CHS8</t>
  </si>
  <si>
    <t>EFX</t>
  </si>
  <si>
    <t>0918S</t>
  </si>
  <si>
    <t>18.7 CFM Wabco</t>
  </si>
  <si>
    <t>C5304-01-000</t>
  </si>
  <si>
    <t>Michelin XZE</t>
  </si>
  <si>
    <t>C600302125, 2500, Allison</t>
  </si>
  <si>
    <t>C1358-01-000, 4939, Leece Neville</t>
  </si>
  <si>
    <t>C1816-18-000</t>
  </si>
  <si>
    <t>3,000CCA</t>
  </si>
  <si>
    <t>Weldon 1020-9030-010</t>
  </si>
  <si>
    <t>C5304-51-100</t>
  </si>
  <si>
    <t>Michelin XDE</t>
  </si>
  <si>
    <t>11R22.5(G)</t>
  </si>
  <si>
    <t>C5318-01-000</t>
  </si>
  <si>
    <t>Plywood with recessed L track</t>
  </si>
  <si>
    <t>Plywood with continuous track</t>
  </si>
  <si>
    <t>1585-NY-66-00WC-TBB</t>
  </si>
  <si>
    <t>1118S</t>
  </si>
  <si>
    <t>C241014200, Cummins ISB, 6 Cylinders, 6.7L, 200HP @ 2300 RPM, 520 LBFT Torque @ 1600 RPM</t>
  </si>
  <si>
    <t>1594-NY-78-00WC-TBB</t>
  </si>
  <si>
    <t>1318S</t>
  </si>
  <si>
    <t>C5316-03-000</t>
  </si>
  <si>
    <t>Michelin XZE2</t>
  </si>
  <si>
    <t>C5310-51-100</t>
  </si>
  <si>
    <t xml:space="preserve">Plywood with recessed L track </t>
  </si>
  <si>
    <t>C241012220,Cummins ISB 6 Cylinders,6.7L, 220HP @ 2400 RPM 520 LBFT Torque @ 1600 RPM</t>
  </si>
  <si>
    <t>1474-NY-66-00WC-TBB</t>
  </si>
  <si>
    <t>CHSY</t>
  </si>
  <si>
    <t>HDX</t>
  </si>
  <si>
    <t>120YS</t>
  </si>
  <si>
    <t>C1366-00-000, 4951, Leece Neville</t>
  </si>
  <si>
    <t>C1829-00-000</t>
  </si>
  <si>
    <t>2,775 CCA</t>
  </si>
  <si>
    <t>O/O Air, 25"</t>
  </si>
  <si>
    <t>1, BFR, Fwd of Axle</t>
  </si>
  <si>
    <t>1749-NY-72-00WC-TBB</t>
  </si>
  <si>
    <t>C245201250,Cummins ISLG, 6 Cylinders, 809L,250HP @ 2200 RPM,730 LBFT Torque @ 1300RPM</t>
  </si>
  <si>
    <t>130S</t>
  </si>
  <si>
    <t>130YS</t>
  </si>
  <si>
    <t xml:space="preserve">1,BFR,Fwd of Axle, </t>
  </si>
  <si>
    <t>For CNG: 9600 cu ft</t>
  </si>
  <si>
    <t>CNG: 2 left, 2 right, fwd of axle</t>
  </si>
  <si>
    <t>PC69863 Nesco Bus and Truck Sales, Inc.</t>
  </si>
  <si>
    <r>
      <t xml:space="preserve">Bronx, Kings, Nassau, New York, Queens, Richmond, and Suffolk Counties. </t>
    </r>
    <r>
      <rPr>
        <b/>
        <sz val="10"/>
        <rFont val="Arial"/>
        <family val="2"/>
      </rPr>
      <t>For all other Counties, please see Contract PC69862, Matthews Buses, Inc.</t>
    </r>
  </si>
  <si>
    <t xml:space="preserve">Delete exterior LED lamps and replace with incadescent exterior lamps that are compliant with FMVSS, NYS Vehicle and Traffic Law, NYS Transportation Law and 17 NYCRR 720s. </t>
  </si>
  <si>
    <r>
      <t xml:space="preserve">Enter the per unit NYS Contract Price (dollar amount) for adding one (1) Additional Body Section, excluding seats and other interior features, to the Base Item and the applicable Base Item NYS Contract Price. If there is no cost for an Additional Body Section, enter "$0.00." If an Additional Body Section is not available for the School Bus bid, enter "Not Available." </t>
    </r>
    <r>
      <rPr>
        <b/>
        <i/>
        <sz val="10"/>
        <rFont val="Arial"/>
        <family val="2"/>
      </rPr>
      <t>The Additional Body Section NYS Contract Price is not included in the Grand Total For Item calculated below.</t>
    </r>
  </si>
  <si>
    <r>
      <t xml:space="preserve">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
</t>
    </r>
    <r>
      <rPr>
        <b/>
        <i/>
        <sz val="10"/>
        <rFont val="Arial"/>
        <family val="2"/>
      </rPr>
      <t>Note: "Floor (Flat) With Recessed Wheelchair Track Throughout Entire Body" is not a mandatory Optional Equipment, and is not included in the "Total Optional Equipment Evaluation Price" calculated in Column J. If "Floor (Flat) With Recessed Wheelchair Track Throughout Entire Body" is not available for the School Bus bid, enter "Not Available" in Column H.</t>
    </r>
  </si>
  <si>
    <t>Optional Equipment NYS Contract Price</t>
  </si>
  <si>
    <t>Comments/Notes</t>
  </si>
  <si>
    <t>Spec for Equipment Provided</t>
  </si>
  <si>
    <t>Information to provide in Column F</t>
  </si>
  <si>
    <t>Total Optional Equipment Evaluation Price</t>
  </si>
  <si>
    <t>2, Propulision Battery</t>
  </si>
  <si>
    <t>Provide information on power source for heater unit. (Propulsion Battery(ies), Auxiliary Battery(ies) or Fuel Source)</t>
  </si>
  <si>
    <t>Make &amp; Model</t>
  </si>
  <si>
    <t xml:space="preserve">Rear radial tires capacity (per tire)
 [_____,_____-lbs]:
</t>
  </si>
  <si>
    <t xml:space="preserve">Front radial tires capacity (per tire)
 [_____,_____-lbs]:
</t>
  </si>
  <si>
    <t>All-season tread, tubeless, radial tires shall be provided as specified or recommended by the OEM Manufacturer for all season tires or compatible equivalent.    At minimum, tires shall have a tire designation of S+M and shall be equivalent in load range and mileage ratings to tires in base specification.   The price entered for this Optional Equipment shall be for six (6) tires.</t>
  </si>
  <si>
    <t>Snow tread, tubeless, radial tires shall be provided on all drive wheels as specified or recommended by the OEM manufacturer for snow tires or compatible equivalent.   At minimum, tires shall have a tire designation of S+M, S/T or STC (Snow Traction Capability) and be equivalent in load range and mileage ratings to tires in base specification.   The price entered for this Optional Equipment shall be for four (4) tires.</t>
  </si>
  <si>
    <t>The manufacturer’s standard device or system (e.g., power-lock, limited-slip, no-spin, positive-traction or electronic stability control, traction control or equivalent system that meets FMVSS).</t>
  </si>
  <si>
    <t>Shall be the Child Check-mate System Model EP 2, EP 2 Plus, or Compatible Equivalent.</t>
  </si>
  <si>
    <t>Optional Equipment Evaluation Price</t>
  </si>
  <si>
    <t>Optional Equipment Evaluation Amount</t>
  </si>
  <si>
    <t>Propulision Battery</t>
  </si>
  <si>
    <t>Provide information on power source for heater unit(s). (Propulsion Battery(ies), Auxiliary Battery(ies) or Fuel Source)</t>
  </si>
  <si>
    <t xml:space="preserve">Manufacturer's standard insulated floor design shall be provided throughout the School Bus that is compliant with 17 NYCRR 720s.   </t>
  </si>
  <si>
    <t xml:space="preserve">All units with a capacity of ten (10) or more Pupils shall be equipped with exterior reflective markings as required by FMVSS (49 CFR 571.217) and NYCRR (Title 15,
Department of Motor Vehicles, Part D, 46.12).  </t>
  </si>
  <si>
    <t xml:space="preserve">Seat belts must be compliant with Federal Motor Vehicle Safety Standards (FMVSS) at the time of manufacture and be compliant with the NYS Vehicle and Traffic Law, NYS Transportation Law and 17 NYRCRR 720s.    </t>
  </si>
  <si>
    <t>Units shall have headlights turned on when the propulsion system is on.</t>
  </si>
  <si>
    <t>Lithium-ion</t>
  </si>
  <si>
    <t xml:space="preserve">Propulsion system battery(ies) must meet Federal Motor Vehicle Safety Standards (FMVSS) at the time of manufacture.   </t>
  </si>
  <si>
    <t>N/A - No Transmission</t>
  </si>
  <si>
    <t xml:space="preserve">Rear radial tires capacity (per tire)
 [_____,_____-lbs:
</t>
  </si>
  <si>
    <t>Minimum four (4) rows for twenty-four (24) Pupils with a maximum of twenty-nine (29) Pupils.</t>
  </si>
  <si>
    <r>
      <rPr>
        <sz val="10"/>
        <rFont val="Arial"/>
        <family val="2"/>
      </rPr>
      <t>The Grand Total For Item is the dollar amount calculated in this IFB to the evaluate an Item.</t>
    </r>
    <r>
      <rPr>
        <i/>
        <sz val="10"/>
        <rFont val="Arial"/>
        <family val="2"/>
      </rPr>
      <t xml:space="preserve"> [Automatically calculated: The Base Item Evaluation Price, plus the Total Optional Equipment Evaluation Price, plus the Additional Options Evaluation Price]
</t>
    </r>
    <r>
      <rPr>
        <b/>
        <i/>
        <sz val="10"/>
        <rFont val="Arial"/>
        <family val="2"/>
      </rPr>
      <t xml:space="preserve">If "No Bid" appears in this Row in Cell F33, that indicates that the Bidder has failed to enter all required pricing information (i.e., the Base Item NYS Contract Price, Optional Equipment NYS Contract Prices, and Additional Options NYS Discount) on this worksheet. </t>
    </r>
    <r>
      <rPr>
        <b/>
        <i/>
        <u/>
        <sz val="10"/>
        <rFont val="Arial"/>
        <family val="2"/>
      </rPr>
      <t>Failure to enter all required pricing information for an Item may result in the bid being deemed non-responsive for that Item and may result in the disqualification of the bid for the applicable Item.</t>
    </r>
  </si>
  <si>
    <t>Grand Total For Item</t>
  </si>
  <si>
    <t xml:space="preserve">[Automatically calculated: The Additional Options Evaluation Amount minus the Additional Options NYS Discount] </t>
  </si>
  <si>
    <t>Additional Options Evaluation Price</t>
  </si>
  <si>
    <r>
      <t xml:space="preserve">Enter the minimum percentage amount that shall be deducted from the MSRP for all Additional Options purchased under the Contract for this Item (see IFB Section 6.5.2 </t>
    </r>
    <r>
      <rPr>
        <i/>
        <sz val="10"/>
        <rFont val="Arial"/>
        <family val="2"/>
      </rPr>
      <t>Additional Options Price</t>
    </r>
    <r>
      <rPr>
        <sz val="10"/>
        <rFont val="Arial"/>
        <family val="2"/>
      </rPr>
      <t xml:space="preserve">). [Enter a number only (e.g., 5.5); Do not type a percentage sign (%) after the number; For 5.5%, enter 5.5, not 0.055]. The Additional Options NYS Discount entered by a Bidder must be greater than 0%, or less than or equal to 100%. </t>
    </r>
  </si>
  <si>
    <t>A dollar amount used in this IFB for evaluation. This number is based on historic sales and anticipated future needs, and is for evaluation purposes only. It is not a guaranteed purchase under the resultant Contract(s).</t>
  </si>
  <si>
    <t>Additional Options Evaluation Amount</t>
  </si>
  <si>
    <r>
      <t xml:space="preserve">The sum of the Optional Equipment Evaluation Prices automatically calculated in Column J of Part 4: </t>
    </r>
    <r>
      <rPr>
        <i/>
        <sz val="10"/>
        <rFont val="Arial"/>
        <family val="2"/>
      </rPr>
      <t>Optional Equipment Specifications and Pricing</t>
    </r>
    <r>
      <rPr>
        <sz val="10"/>
        <rFont val="Arial"/>
        <family val="2"/>
      </rPr>
      <t xml:space="preserve">. [Automatically calculated: Equal to the value in Column J, Row 118 below] 
</t>
    </r>
    <r>
      <rPr>
        <b/>
        <i/>
        <sz val="10"/>
        <rFont val="Arial"/>
        <family val="2"/>
      </rPr>
      <t xml:space="preserve">If "Enter Pricing in PART 4: Column H" appears in this Row in Cell F29, that indicates that the Bidder has failed to enter one or more Optional Equipment NYS Contract Prices for a required Optional Equipment in PART 4: Optional Equipment Specifications and Pricing.  </t>
    </r>
    <r>
      <rPr>
        <b/>
        <i/>
        <u/>
        <sz val="10"/>
        <rFont val="Arial"/>
        <family val="2"/>
      </rPr>
      <t xml:space="preserve">Failure to provide an Optional Equipment NYS Contract Price for one or more Optional Equipment may result in the bid being deemed non-responsive for that individual Optional Equipment and may result in the disqualification of the bid for the applicable Item. </t>
    </r>
  </si>
  <si>
    <t xml:space="preserve">[Automatically calculated: The Base Item Evaluation Amount multiplied by the Base Item NYS Contract Price] </t>
  </si>
  <si>
    <t>Base Item Evaluation Price</t>
  </si>
  <si>
    <t>A quantity used in this IFB for evaluation. This number is based on historic sales and anticipated future needs, and is for evaluation purposes only. It is not a guaranteed purchase under the resultant Contract(s).</t>
  </si>
  <si>
    <t>Base Item Evaluation Amount</t>
  </si>
  <si>
    <t>Enter 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</si>
  <si>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210-365 days</t>
  </si>
  <si>
    <t xml:space="preserve">Enter the estimated delivery time for the School Bus bid, expressed in number of calendar days (e.g., "90-120 days"), required to make delivery after receipt of a final Purchase Order (After Receipt of Order (“ARO”)).  </t>
  </si>
  <si>
    <r>
      <t xml:space="preserve">Enter the dollar amount, per School Bus, that will be deducted from the Base Item NYS Contract Prices entered below, if the Authorized User elects to pick up the School Bus at the Contractor's location. </t>
    </r>
    <r>
      <rPr>
        <i/>
        <sz val="10"/>
        <rFont val="Arial"/>
        <family val="2"/>
      </rPr>
      <t>[Do not enter a negative number].</t>
    </r>
  </si>
  <si>
    <t>Enter the Model Code (i.e., the OEM code used to identify a particular subset of a Model) of the Body bid, if applicable</t>
  </si>
  <si>
    <t>Enter the Model name (e.g., T-Series, MB-II, Minotour, Roadstar) of the Body bid</t>
  </si>
  <si>
    <t>Enter Make (e.g. Microbird, Collins, Starcraft, Trans Tech) of the Body bid</t>
  </si>
  <si>
    <t>Enter Model Year or Current Production Year, (e.g. 2022, 2023) of the Body bid</t>
  </si>
  <si>
    <t xml:space="preserve">Body Model Year </t>
  </si>
  <si>
    <t>E-Series</t>
  </si>
  <si>
    <t xml:space="preserve">Enter the Model Code (i.e., the OEM code used to identify a particular subset of a Model) of the Chassis bid, if applicable </t>
  </si>
  <si>
    <t>E-450</t>
  </si>
  <si>
    <t>Enter the Model name (e.g., Transit T-350, 4500, HC, M2) of the Chassis bid</t>
  </si>
  <si>
    <t>Enter Make, (e.g. Ford, General Motors, International, Freightliner), of the Chassis bid</t>
  </si>
  <si>
    <t>Enter Model Year, (e.g. 2022, 2023), of the Chassis bid</t>
  </si>
  <si>
    <t xml:space="preserve">Chassis Model Year </t>
  </si>
  <si>
    <t>1241-NY-24-00WC-TBB</t>
  </si>
  <si>
    <r>
      <t xml:space="preserve">Enter the NYS DOT Approval Number for the School Bus bid. If a NYS DOT Approval Number for the School Bus bid has not been issued at the time of the bid submittal, enter "Pending," In accordance with IFB Section 4.2.3 </t>
    </r>
    <r>
      <rPr>
        <i/>
        <sz val="10"/>
        <rFont val="Arial"/>
        <family val="2"/>
      </rPr>
      <t>NYS DOT Approval Number</t>
    </r>
    <r>
      <rPr>
        <sz val="10"/>
        <rFont val="Arial"/>
        <family val="2"/>
      </rPr>
      <t xml:space="preserve">, for each Item bid, a NYS DOT Approval Number must either be on file with, or have been applied for with, the NYS DOT Passenger Carrier Safety Bureau and must be obtained within 90 days of the start date of the contract. Failure to obtain a NYS DOT Approval Number within 90 days of the start date of the contract may result in the award for that item being suspended in accordance with Appendix B, Clause 42 </t>
    </r>
    <r>
      <rPr>
        <i/>
        <sz val="10"/>
        <rFont val="Arial"/>
        <family val="2"/>
      </rPr>
      <t>Suspension of Work</t>
    </r>
    <r>
      <rPr>
        <sz val="10"/>
        <rFont val="Arial"/>
        <family val="2"/>
      </rPr>
      <t xml:space="preserve">.
Only School Buses approved by NYS DOT Passenger Carrier Safety Bureau for use as 2022 and newer Models, as indicated by a NYS DOT Approval Number, shall be delivered pursuant to the Contract. </t>
    </r>
  </si>
  <si>
    <t>JJE TM5145 Permanent
Magnet Synchronous Motor  Peak Torque 1,253 Ft.Lb. Continuous Power 170kW Peak Power 280kW Voltage</t>
  </si>
  <si>
    <r>
      <t xml:space="preserve">PART 1: Enter Product information for the Base Item(s) bid in the in the </t>
    </r>
    <r>
      <rPr>
        <b/>
        <sz val="12"/>
        <color rgb="FFFFFF66"/>
        <rFont val="Arial"/>
        <family val="2"/>
      </rPr>
      <t>Yellow</t>
    </r>
    <r>
      <rPr>
        <b/>
        <sz val="12"/>
        <rFont val="Arial"/>
        <family val="2"/>
      </rPr>
      <t xml:space="preserve"> Cells below</t>
    </r>
  </si>
  <si>
    <t>Type A-2, DRW, Cutaway, 4 Rows
(Electric; Minimum 24 Pupils, Maxium 29 Pupils)</t>
  </si>
  <si>
    <t>LOT A (Item 4-EV)</t>
  </si>
  <si>
    <t>2024-NY-24-00WC-TBB</t>
  </si>
  <si>
    <t>This sheet is for a GM Chassis. See additional attached worksheet for Ford chassis</t>
  </si>
  <si>
    <t>Roof hatches shall provide static venting with the first unlatched position and provide a latch for release to the full opened emergency position, and be equipped with an exterior latch. Roof hatches shall be Safe Fleet Advantage hatch H1975, Spheros #550886A or 550887A, or Compatible Equivalent.</t>
  </si>
  <si>
    <t>Braun NCL9171B-2</t>
  </si>
  <si>
    <t>Fl-094-1RK</t>
  </si>
  <si>
    <t>Electronic Stability Control with
Automatic Traction control</t>
  </si>
  <si>
    <t>Child Check Mate EP2</t>
  </si>
  <si>
    <t>Propulsion Battery System</t>
  </si>
  <si>
    <t xml:space="preserve">Seat belts must be compliant with Federal Motor Vehicle Safety Standards (FMVSS) at the time of manufacture and be compliant with the NYS Vehicle and Traffic Law, NYS Transportation Law and 17 NYRCRR 720s. </t>
  </si>
  <si>
    <t>Units shall have headlights turned on when the School Bus is in operation.</t>
  </si>
  <si>
    <t>Alliance 1031, Group 31, 12V</t>
  </si>
  <si>
    <t>Up to 148</t>
  </si>
  <si>
    <t>Integrated 2 spd Transmission</t>
  </si>
  <si>
    <r>
      <rPr>
        <sz val="8"/>
        <rFont val="Arial"/>
        <family val="2"/>
      </rPr>
      <t>Hankook DH06</t>
    </r>
  </si>
  <si>
    <r>
      <rPr>
        <sz val="8"/>
        <rFont val="Arial"/>
        <family val="2"/>
      </rPr>
      <t>FL-094-2EU</t>
    </r>
  </si>
  <si>
    <r>
      <rPr>
        <sz val="8"/>
        <rFont val="Arial"/>
        <family val="2"/>
      </rPr>
      <t>Hankook AH24</t>
    </r>
  </si>
  <si>
    <r>
      <rPr>
        <sz val="8"/>
        <rFont val="Arial"/>
        <family val="2"/>
      </rPr>
      <t>11R22.5 (H)</t>
    </r>
  </si>
  <si>
    <r>
      <rPr>
        <sz val="8"/>
        <rFont val="Arial"/>
        <family val="2"/>
      </rPr>
      <t>11R22.5(H)</t>
    </r>
  </si>
  <si>
    <r>
      <rPr>
        <sz val="8"/>
        <rFont val="Arial"/>
        <family val="2"/>
      </rPr>
      <t>25 CFM Bendix AD9</t>
    </r>
  </si>
  <si>
    <r>
      <rPr>
        <sz val="8"/>
        <rFont val="Arial"/>
        <family val="2"/>
      </rPr>
      <t>CSI HD Electric Scroll</t>
    </r>
  </si>
  <si>
    <t>If an air brake system is supplied, it shall be compliant with FMVSS (49 CFR 571.121), including the latest revision thereof.</t>
  </si>
  <si>
    <t xml:space="preserve">Minimum forty-six (46) Pupils with a maximum of fifty-seven (57) Pupils. </t>
  </si>
  <si>
    <t>A School Bus with a Body installed upon a cowl and Chassis constructed using a chassis with a hood and front fender assembly or van conversion type vehicle. The entrance door is behind the front wheels. This is also known as a conventional school bus. This type also includes the cutaway truck chassis or truck chassis with cab, with or without a left side door, and with a GVWR greater than 16,000 pounds.</t>
  </si>
  <si>
    <r>
      <t xml:space="preserve">The sum of the Optional Equipment Evaluation Prices automatically calculated in Column J of Part 4: </t>
    </r>
    <r>
      <rPr>
        <i/>
        <sz val="10"/>
        <rFont val="Arial"/>
        <family val="2"/>
      </rPr>
      <t>Optional Equipment Specifications and Pricing</t>
    </r>
    <r>
      <rPr>
        <sz val="10"/>
        <rFont val="Arial"/>
        <family val="2"/>
      </rPr>
      <t xml:space="preserve">. </t>
    </r>
    <r>
      <rPr>
        <i/>
        <sz val="10"/>
        <rFont val="Arial"/>
        <family val="2"/>
      </rPr>
      <t xml:space="preserve">[Automatically calculated: Equal to the value in Column J, Row 124 below] 
</t>
    </r>
    <r>
      <rPr>
        <b/>
        <i/>
        <sz val="10"/>
        <rFont val="Arial"/>
        <family val="2"/>
      </rPr>
      <t xml:space="preserve">If "Enter Pricing in PART 4: Column H" appears in this Row in Cell F29, that indicates that the Bidder has failed to enter one or more Optional Equipment NYS Contract Prices for a required Optional Equipment in PART 4: Optional Equipment Specifications and Pricing.  </t>
    </r>
    <r>
      <rPr>
        <b/>
        <i/>
        <u/>
        <sz val="10"/>
        <rFont val="Arial"/>
        <family val="2"/>
      </rPr>
      <t xml:space="preserve">Failure to provide an Optional Equipment NYS Contract Price for one or more Optional Equipment may result in the bid being deemed non-responsive for that individual Optional Equipment and may result in the disqualification of the bid for the applicable Item. </t>
    </r>
  </si>
  <si>
    <t>Enter 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and Additional Options.</t>
  </si>
  <si>
    <t>Enter the Model name (e.g., CE, Vision, C2) of the Body bid</t>
  </si>
  <si>
    <t>Enter Make (e.g. IC, Blue Bird, Thomas) of the Body bid</t>
  </si>
  <si>
    <t>Cummins Meritor 14Xe-
eAxle. 3 Phase/450-750v 250kW Peak HP/180 kW Continuous HP</t>
  </si>
  <si>
    <t>Type C, 46 Pupil Conventional Bus 
(Electric, Minimum 46 Pupils, Maximum 57 Pupils)</t>
  </si>
  <si>
    <t>LOT C (Item 2-EV)</t>
  </si>
  <si>
    <r>
      <t xml:space="preserve">GROUP 40524-23254, SCHOOL BUSES (Statewide)                                                             Attachment 1 - </t>
    </r>
    <r>
      <rPr>
        <b/>
        <i/>
        <sz val="10"/>
        <rFont val="Arial"/>
        <family val="2"/>
      </rPr>
      <t>Specifications and Pricing</t>
    </r>
    <r>
      <rPr>
        <b/>
        <sz val="10"/>
        <rFont val="Arial"/>
        <family val="2"/>
      </rPr>
      <t xml:space="preserve"> (Revised May 29, 2025)</t>
    </r>
  </si>
  <si>
    <t>Information provided in Yellow cells</t>
  </si>
  <si>
    <t xml:space="preserve">PART 2: Pricing for the Base Item, and Additional Options </t>
  </si>
  <si>
    <t xml:space="preserve">PART 3: Base Item Specifications </t>
  </si>
  <si>
    <t>Information to provide in Yellow cells</t>
  </si>
  <si>
    <t>Information to provide in Column Yellow cells</t>
  </si>
  <si>
    <t xml:space="preserve">PART 2: Pricing for the Base Item, Additional Body Section, and Additional Options </t>
  </si>
  <si>
    <t xml:space="preserve">PART 4: Optional Equipment Specifications and Pricing </t>
  </si>
  <si>
    <t xml:space="preserve">PART 5: Non-Mandatory Optional and Base Equipment </t>
  </si>
  <si>
    <t>A (Item 4-EV)</t>
  </si>
  <si>
    <t>C (Item 2-EV)</t>
  </si>
  <si>
    <t xml:space="preserve">Lot C (Item 2-EV): Type C, Conventional Bus </t>
  </si>
  <si>
    <t>Information identifying the Make and Model propulsion system offered.</t>
  </si>
  <si>
    <t xml:space="preserve">The NYS DOT Approval Number for the School Bus bid. Only School Buses approved by NYS DOT Passenger Carrier Safety Bureau for use as 2022 and newer Models, as indicated by a NYS DOT Approval Number, shall be delivered pursuant to the Contract. </t>
  </si>
  <si>
    <r>
      <t xml:space="preserve">GROUP 40524-23254, SCHOOL BUSES (Statewide)                                                             Attachment 1 - </t>
    </r>
    <r>
      <rPr>
        <b/>
        <i/>
        <sz val="10"/>
        <rFont val="Arial"/>
        <family val="2"/>
      </rPr>
      <t>Specifications and Pricing</t>
    </r>
    <r>
      <rPr>
        <b/>
        <sz val="10"/>
        <rFont val="Arial"/>
        <family val="2"/>
      </rPr>
      <t xml:space="preserve"> (</t>
    </r>
    <r>
      <rPr>
        <b/>
        <sz val="10"/>
        <color rgb="FFFF0000"/>
        <rFont val="Arial"/>
        <family val="2"/>
      </rPr>
      <t>Revised May 30, 2025</t>
    </r>
    <r>
      <rPr>
        <b/>
        <sz val="10"/>
        <rFont val="Arial"/>
        <family val="2"/>
      </rPr>
      <t>)</t>
    </r>
  </si>
  <si>
    <t>GM</t>
  </si>
  <si>
    <t>2040-NY-24-00WC-TBB</t>
  </si>
  <si>
    <t>The Model Year, (e.g. 2022, 2023), of the Chassis</t>
  </si>
  <si>
    <t>The Make, (e.g. Ford, General Motors, International, Freightliner), of the Chassis</t>
  </si>
  <si>
    <t>The Model name (e.g., Transit T-350, 4500, HC, M2) of the Chassis</t>
  </si>
  <si>
    <t xml:space="preserve">The Model Code (i.e., the OEM code used to identify a particular subset of a Model) of the Chassis, if applicable </t>
  </si>
  <si>
    <t>The Model Year or Current Production Year, (e.g. 2022, 2023) of the Body</t>
  </si>
  <si>
    <t xml:space="preserve">The Make (e.g. Microbird, Collins, Starcraft, Trans Tech) of the Body </t>
  </si>
  <si>
    <t>The Model name (e.g., T-Series, MB-II, Minotour, Roadstar) of the Body</t>
  </si>
  <si>
    <t>The Model Code (i.e., the OEM code used to identify a particular subset of a Model) of the Body, if applicable</t>
  </si>
  <si>
    <t xml:space="preserve">The dollar amount, per School Bus, that will be deducted from the Base Item NYS Contract Prices , if the Authorized User elects to pick up the School Bus at the Contractor's location. </t>
  </si>
  <si>
    <t xml:space="preserve">The estimated delivery time for the School Bus, expressed in number of calendar days (e.g., "90-120 days"), required to make delivery after receipt of a final Purchase Order (After Receipt of Order (“ARO”)).  </t>
  </si>
  <si>
    <t>PART 4: Optional Equipment Specifications and Pricing</t>
  </si>
  <si>
    <t>Information to provide in Yellow Cells</t>
  </si>
  <si>
    <t>PART 5: Non-Mandatory Optional and Base Equipment Pricing</t>
  </si>
  <si>
    <t>Optional equipment and Base Equipment listed in Part 5 is included for informational purposes only and is non-mandatory.</t>
  </si>
  <si>
    <r>
      <t xml:space="preserve">GROUP 40524-23254, SCHOOL BUSES (Statewide)                                                             Attachment 1 - </t>
    </r>
    <r>
      <rPr>
        <b/>
        <i/>
        <sz val="10"/>
        <rFont val="Arial"/>
        <family val="2"/>
      </rPr>
      <t>Specifications and Pricing</t>
    </r>
    <r>
      <rPr>
        <b/>
        <sz val="10"/>
        <rFont val="Arial"/>
        <family val="2"/>
      </rPr>
      <t xml:space="preserve"> (Revised </t>
    </r>
    <r>
      <rPr>
        <b/>
        <sz val="10"/>
        <color rgb="FFFF0000"/>
        <rFont val="Arial"/>
        <family val="2"/>
      </rPr>
      <t>May 30, 2025</t>
    </r>
    <r>
      <rPr>
        <b/>
        <sz val="10"/>
        <rFont val="Arial"/>
        <family val="2"/>
      </rPr>
      <t>)</t>
    </r>
  </si>
  <si>
    <t>The Make (e.g. Microbird, Collins, Starcraft, Trans Tech) of the Body</t>
  </si>
  <si>
    <r>
      <t xml:space="preserve">The minimum percentage amount that shall be deducted from the MSRP for all Additional Options purchased under the Contract for this Item (see IFB Section 6.5.2 </t>
    </r>
    <r>
      <rPr>
        <i/>
        <sz val="10"/>
        <rFont val="Arial"/>
        <family val="2"/>
      </rPr>
      <t>Additional Options Price</t>
    </r>
    <r>
      <rPr>
        <sz val="10"/>
        <rFont val="Arial"/>
        <family val="2"/>
      </rPr>
      <t xml:space="preserve">). [Enter a number only (e.g., 5.5); Do not type a percentage sign (%) after the number; For 5.5%, enter 5.5, not 0.055]. The Additional Options NYS Discount entered by a Bidder must be greater than 0%, or less than or equal to 100%. </t>
    </r>
  </si>
  <si>
    <r>
      <t xml:space="preserve">The per unit NYS Contract Price (dollar amount) for adding one (1) Additional Body Section, excluding seats and other interior features, to the Base Item and the applicable Base Item NYS Contract Price. If there is no cost for an Additional Body Section, enter "$0.00." If an Additional Body Section is not available for the School Bus bid, enter "Not Available." </t>
    </r>
    <r>
      <rPr>
        <b/>
        <i/>
        <sz val="10"/>
        <rFont val="Arial"/>
        <family val="2"/>
      </rPr>
      <t>The Additional Body Section NYS Contract Price is not included in the Grand Total For Item calculated below.</t>
    </r>
  </si>
  <si>
    <t>The dollar amount, per School Bus, that will be deducted from the Base Item NYS Contract Prices, if the Authorized User elects to pick up the School Bus at the Contractor's location.</t>
  </si>
  <si>
    <t>LOT A (Item 3-EV)</t>
  </si>
  <si>
    <t>Type A-2, DRW, Cutaway, 4 Rows
(Electric; Minimum 20 Pupils, Maximum 23 Pupils)</t>
  </si>
  <si>
    <t>PART 1:  Product information for the Base Item(s) Awarded</t>
  </si>
  <si>
    <t>2042-NY-22-00WC-TBB</t>
  </si>
  <si>
    <t>The the Model name (e.g., T-Series, MB-II, Minotour, Roadstar) of the Body</t>
  </si>
  <si>
    <t xml:space="preserve">The estimated delivery time for the School Bus bid, expressed in number of calendar days (e.g., "90-120 days"), required to make delivery after receipt of a final Purchase Order (After Receipt of Order (“ARO”)).  </t>
  </si>
  <si>
    <t>Minimum four (4) rows for twenty (20) Pupils with a maximum of twenty-three (23) Pupils.</t>
  </si>
  <si>
    <t>LT225/75RX16-E</t>
  </si>
  <si>
    <t>T68</t>
  </si>
  <si>
    <t>Hankook All Season</t>
  </si>
  <si>
    <t>Propulsion system battery(ies) must meet Federal Motor Vehicle Safety Standards (FMVSS) at the time of manufacture.</t>
  </si>
  <si>
    <r>
      <t xml:space="preserve">All Optional Equipment listed in Part 4: </t>
    </r>
    <r>
      <rPr>
        <b/>
        <i/>
        <sz val="10"/>
        <rFont val="Arial"/>
        <family val="2"/>
      </rPr>
      <t xml:space="preserve">Optional Equipment Specifications and Pricing </t>
    </r>
    <r>
      <rPr>
        <b/>
        <sz val="10"/>
        <rFont val="Arial"/>
        <family val="2"/>
      </rPr>
      <t>shall be available from the Contractor for installation on the School Bus Award for the applicable Base Item.</t>
    </r>
  </si>
  <si>
    <t>PART 5: Non-Mandatory Optional and Base Equipment Specifications and Pricing</t>
  </si>
  <si>
    <t>The per unit NYS Contract Price (dollar amount) for adding one (1) Additional Body Section, excluding seats and other interior features, to the Base Item and the applicable Base Item NYS Contract Price.</t>
  </si>
  <si>
    <r>
      <t xml:space="preserve">GROUP 40524-23254, SCHOOL BUSES (Statewide)                                                             Attachment 1 - </t>
    </r>
    <r>
      <rPr>
        <b/>
        <i/>
        <sz val="10"/>
        <rFont val="Arial"/>
        <family val="2"/>
      </rPr>
      <t>Specifications and Pricing</t>
    </r>
    <r>
      <rPr>
        <b/>
        <sz val="10"/>
        <rFont val="Arial"/>
        <family val="2"/>
      </rPr>
      <t xml:space="preserve"> (</t>
    </r>
    <r>
      <rPr>
        <b/>
        <sz val="10"/>
        <color rgb="FFFF0000"/>
        <rFont val="Arial"/>
        <family val="2"/>
      </rPr>
      <t>Revised June 3, 2025</t>
    </r>
    <r>
      <rPr>
        <b/>
        <sz val="10"/>
        <rFont val="Arial"/>
        <family val="2"/>
      </rPr>
      <t>)</t>
    </r>
  </si>
  <si>
    <t>A (Item 3-EV)</t>
  </si>
  <si>
    <t>Lot A (Item 3-EV): Type A-2, DRW, Cutaway, 4 Rows</t>
  </si>
  <si>
    <t>Lot A (Item 4-EV): Type A-2, DRW, Cutaway, 4 Rows</t>
  </si>
  <si>
    <t>The information identifying the Make and Model propulsion system offered.</t>
  </si>
  <si>
    <t>2043-NY-48-00WC-TBB</t>
  </si>
  <si>
    <t>The Make (e.g. IC, Blue Bird, Thomas) of the Body</t>
  </si>
  <si>
    <t>The Model name (e.g., CE, Vision, C2) of the Body</t>
  </si>
  <si>
    <t>PART 2: Pricing for the Base Item, and Additional Options</t>
  </si>
  <si>
    <t>Non-Mandatory Optional Equipment NYS Contract Price</t>
  </si>
  <si>
    <t>Information provided in Column F</t>
  </si>
  <si>
    <t>PART 5: Non-Mandatory Optional and Base Equipment</t>
  </si>
  <si>
    <t>07/2025 PPI</t>
  </si>
  <si>
    <t>CSI HD Electric Scroll</t>
  </si>
  <si>
    <t>11R22.5 (H)</t>
  </si>
  <si>
    <t>Lot C 1-EV &amp; Lot C 2-EV PPI Adj (Added Mar 2025)</t>
  </si>
  <si>
    <t>03/2025 PPI</t>
  </si>
  <si>
    <t xml:space="preserve">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</si>
  <si>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and Additional Options.</t>
  </si>
  <si>
    <t>Lot A (Item 5-G)</t>
  </si>
  <si>
    <t>Lot A 3-EV, Lot A 4-EV, &amp; Lot C 2-EV PPI Adj (Added Jul 2025)</t>
  </si>
  <si>
    <t>Hide before posting</t>
  </si>
  <si>
    <r>
      <t xml:space="preserve">GROUP 40524-23254, SCHOOL BUSES (Statewide)                                                             Attachment 1 - </t>
    </r>
    <r>
      <rPr>
        <b/>
        <i/>
        <sz val="10"/>
        <rFont val="Arial"/>
        <family val="2"/>
      </rPr>
      <t>Specifications and Pricing</t>
    </r>
    <r>
      <rPr>
        <b/>
        <sz val="10"/>
        <rFont val="Arial"/>
        <family val="2"/>
      </rPr>
      <t xml:space="preserve"> (Revised October 15, 2026)</t>
    </r>
  </si>
  <si>
    <t>10/2026 PPI</t>
  </si>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</sst>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32"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sz val="10"/>
      <color theme="5" tint="0.39997558519241921"/>
      <name val="Arial"/>
      <family val="2"/>
    </font>
    <font>
      <b/>
      <i/>
      <u/>
      <sz val="10"/>
      <name val="Arial"/>
      <family val="2"/>
    </font>
    <font>
      <b/>
      <sz val="12"/>
      <color rgb="FFFFFF66"/>
      <name val="Arial"/>
      <family val="2"/>
    </font>
    <font>
      <b/>
      <sz val="14"/>
      <name val="Arial"/>
      <family val="2"/>
    </font>
    <font>
      <sz val="10"/>
      <color rgb="FF000000"/>
      <name val="Times New Roman"/>
      <family val="1"/>
    </font>
    <font>
      <sz val="8"/>
      <name val="Arial"/>
      <family val="2"/>
    </font>
    <font>
      <sz val="8"/>
      <name val="Arial"/>
      <family val="2"/>
    </font>
    <font>
      <sz val="8"/>
      <color rgb="FF000000"/>
      <name val="Arial"/>
      <family val="2"/>
    </font>
    <font>
      <b/>
      <sz val="10"/>
      <color rgb="FFFF0000"/>
      <name val="Arial"/>
      <family val="2"/>
    </font>
    <font>
      <sz val="10"/>
      <color rgb="FF000000"/>
      <name val="Arial"/>
      <family val="2"/>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bgColor indexed="64"/>
      </patternFill>
    </fill>
    <fill>
      <patternFill patternType="solid">
        <fgColor rgb="FFFFFF66"/>
      </patternFill>
    </fill>
    <fill>
      <patternFill patternType="solid">
        <fgColor rgb="FFFFFF00"/>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right style="medium">
        <color indexed="64"/>
      </right>
      <top/>
      <bottom style="thick">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ck">
        <color indexed="64"/>
      </top>
      <bottom style="medium">
        <color indexed="64"/>
      </bottom>
      <diagonal/>
    </border>
    <border>
      <left/>
      <right/>
      <top style="thick">
        <color indexed="64"/>
      </top>
      <bottom style="medium">
        <color indexed="64"/>
      </bottom>
      <diagonal/>
    </border>
    <border>
      <left style="thin">
        <color indexed="64"/>
      </left>
      <right/>
      <top style="thick">
        <color indexed="64"/>
      </top>
      <bottom style="medium">
        <color indexed="64"/>
      </bottom>
      <diagonal/>
    </border>
    <border>
      <left style="thin">
        <color indexed="64"/>
      </left>
      <right style="thin">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thick">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rgb="FF000000"/>
      </top>
      <bottom style="thin">
        <color rgb="FF000000"/>
      </bottom>
      <diagonal/>
    </border>
    <border>
      <left/>
      <right style="medium">
        <color indexed="64"/>
      </right>
      <top/>
      <bottom/>
      <diagonal/>
    </border>
  </borders>
  <cellStyleXfs count="7">
    <xf numFmtId="0" fontId="0" fillId="0" borderId="0"/>
    <xf numFmtId="44" fontId="1" fillId="0" borderId="0" applyFont="0" applyFill="0" applyBorder="0" applyAlignment="0" applyProtection="0"/>
    <xf numFmtId="0" fontId="4" fillId="0" borderId="0"/>
    <xf numFmtId="0" fontId="16" fillId="0" borderId="79" applyNumberFormat="0" applyFill="0" applyAlignment="0" applyProtection="0"/>
    <xf numFmtId="0" fontId="17" fillId="0" borderId="0" applyNumberFormat="0" applyFill="0" applyBorder="0" applyAlignment="0" applyProtection="0"/>
    <xf numFmtId="0" fontId="26" fillId="0" borderId="0"/>
    <xf numFmtId="9" fontId="1" fillId="0" borderId="0" applyFont="0" applyFill="0" applyBorder="0" applyAlignment="0" applyProtection="0"/>
  </cellStyleXfs>
  <cellXfs count="840">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164" fontId="5" fillId="2" borderId="0" xfId="1" applyNumberFormat="1" applyFont="1" applyFill="1" applyBorder="1" applyAlignment="1" applyProtection="1">
      <alignment horizontal="right" vertical="top"/>
    </xf>
    <xf numFmtId="0" fontId="4" fillId="0" borderId="0" xfId="0" applyFont="1" applyAlignment="1">
      <alignment horizontal="left" vertical="top" wrapText="1"/>
    </xf>
    <xf numFmtId="0" fontId="4" fillId="2" borderId="1" xfId="0" applyFont="1" applyFill="1" applyBorder="1" applyAlignment="1" applyProtection="1">
      <alignment horizontal="left" vertical="top" wrapText="1"/>
      <protection locked="0"/>
    </xf>
    <xf numFmtId="0" fontId="4" fillId="2" borderId="13" xfId="2" applyFill="1" applyBorder="1" applyAlignment="1">
      <alignment horizontal="left" vertical="top" wrapText="1"/>
    </xf>
    <xf numFmtId="0" fontId="12" fillId="0" borderId="0" xfId="0" applyFont="1"/>
    <xf numFmtId="0" fontId="4" fillId="0" borderId="13" xfId="2" applyBorder="1" applyAlignment="1">
      <alignment vertical="top" wrapText="1"/>
    </xf>
    <xf numFmtId="0" fontId="4" fillId="2" borderId="14" xfId="2" applyFill="1" applyBorder="1" applyAlignment="1">
      <alignment horizontal="left" vertical="top" wrapText="1"/>
    </xf>
    <xf numFmtId="0" fontId="5" fillId="3" borderId="1" xfId="0" applyFont="1" applyFill="1" applyBorder="1" applyAlignment="1">
      <alignment horizontal="left" vertical="center" wrapText="1"/>
    </xf>
    <xf numFmtId="0" fontId="5" fillId="0" borderId="0" xfId="0" applyFont="1" applyAlignment="1">
      <alignment vertical="top"/>
    </xf>
    <xf numFmtId="49" fontId="5" fillId="0" borderId="0" xfId="0" applyNumberFormat="1" applyFont="1" applyAlignment="1">
      <alignment vertical="top"/>
    </xf>
    <xf numFmtId="0" fontId="5" fillId="3" borderId="31" xfId="0" applyFont="1" applyFill="1" applyBorder="1" applyAlignment="1">
      <alignment vertical="center"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13" xfId="2" applyBorder="1" applyAlignment="1">
      <alignment horizontal="left" vertical="top" wrapText="1"/>
    </xf>
    <xf numFmtId="0" fontId="5" fillId="3" borderId="28" xfId="0" applyFont="1" applyFill="1" applyBorder="1" applyAlignment="1">
      <alignment horizontal="left" vertical="center" wrapText="1"/>
    </xf>
    <xf numFmtId="0" fontId="5" fillId="3" borderId="32"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0" fontId="4" fillId="0" borderId="0" xfId="0" quotePrefix="1" applyFont="1" applyAlignment="1" applyProtection="1">
      <alignment horizontal="right" vertical="top" wrapText="1"/>
      <protection locked="0"/>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5" xfId="0" applyFont="1" applyFill="1" applyBorder="1" applyAlignment="1">
      <alignment vertical="center" wrapText="1"/>
    </xf>
    <xf numFmtId="0" fontId="4" fillId="4" borderId="43" xfId="0" applyFont="1" applyFill="1" applyBorder="1" applyAlignment="1" applyProtection="1">
      <alignment horizontal="left" vertical="top" wrapText="1"/>
      <protection locked="0"/>
    </xf>
    <xf numFmtId="0" fontId="5" fillId="3" borderId="40" xfId="0" applyFont="1" applyFill="1" applyBorder="1" applyAlignment="1">
      <alignment horizontal="left" vertical="center" wrapText="1"/>
    </xf>
    <xf numFmtId="0" fontId="5" fillId="0" borderId="41"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54" xfId="0" applyFont="1" applyBorder="1" applyAlignment="1">
      <alignment horizontal="left" vertical="top" wrapText="1"/>
    </xf>
    <xf numFmtId="0" fontId="5" fillId="0" borderId="58" xfId="0" applyFont="1" applyBorder="1" applyAlignment="1">
      <alignment horizontal="left" vertical="top" wrapText="1"/>
    </xf>
    <xf numFmtId="164" fontId="5" fillId="4" borderId="54" xfId="0" applyNumberFormat="1" applyFont="1" applyFill="1" applyBorder="1" applyAlignment="1" applyProtection="1">
      <alignment horizontal="right" vertical="top" wrapText="1"/>
      <protection locked="0"/>
    </xf>
    <xf numFmtId="0" fontId="5" fillId="3" borderId="7" xfId="0" applyFont="1" applyFill="1" applyBorder="1" applyAlignment="1">
      <alignment horizontal="left" vertical="center" wrapText="1"/>
    </xf>
    <xf numFmtId="0" fontId="4" fillId="0" borderId="63" xfId="2" applyBorder="1" applyAlignment="1">
      <alignment horizontal="left" vertical="top" wrapText="1"/>
    </xf>
    <xf numFmtId="0" fontId="4" fillId="0" borderId="15" xfId="2" applyBorder="1" applyAlignment="1">
      <alignment horizontal="left" vertical="top" wrapText="1"/>
    </xf>
    <xf numFmtId="0" fontId="4" fillId="0" borderId="64" xfId="2" applyBorder="1" applyAlignment="1">
      <alignment horizontal="left" vertical="top" wrapText="1"/>
    </xf>
    <xf numFmtId="0" fontId="5" fillId="3" borderId="62" xfId="0" applyFont="1" applyFill="1" applyBorder="1" applyAlignment="1">
      <alignment horizontal="left" vertical="center" wrapText="1"/>
    </xf>
    <xf numFmtId="0" fontId="4" fillId="2" borderId="63" xfId="2" applyFill="1" applyBorder="1" applyAlignment="1">
      <alignment horizontal="left" vertical="top" wrapText="1"/>
    </xf>
    <xf numFmtId="0" fontId="4" fillId="0" borderId="15" xfId="2" applyBorder="1" applyAlignment="1">
      <alignmen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4" fillId="4" borderId="34" xfId="0" applyFont="1" applyFill="1" applyBorder="1" applyAlignment="1" applyProtection="1">
      <alignment horizontal="left" vertical="top" wrapText="1"/>
      <protection locked="0"/>
    </xf>
    <xf numFmtId="0" fontId="4" fillId="4" borderId="67" xfId="0" applyFont="1" applyFill="1" applyBorder="1" applyAlignment="1" applyProtection="1">
      <alignment horizontal="left" vertical="top" wrapText="1"/>
      <protection locked="0"/>
    </xf>
    <xf numFmtId="0" fontId="4" fillId="4" borderId="68" xfId="0" applyFont="1" applyFill="1" applyBorder="1" applyAlignment="1" applyProtection="1">
      <alignment horizontal="left" vertical="top" wrapText="1"/>
      <protection locked="0"/>
    </xf>
    <xf numFmtId="0" fontId="4" fillId="4" borderId="69" xfId="0" applyFont="1" applyFill="1" applyBorder="1" applyAlignment="1" applyProtection="1">
      <alignment horizontal="left" vertical="top" wrapText="1"/>
      <protection locked="0"/>
    </xf>
    <xf numFmtId="0" fontId="4" fillId="4" borderId="70" xfId="0" applyFont="1" applyFill="1" applyBorder="1" applyAlignment="1" applyProtection="1">
      <alignment horizontal="left" vertical="top" wrapText="1"/>
      <protection locked="0"/>
    </xf>
    <xf numFmtId="0" fontId="4" fillId="4" borderId="72" xfId="0" applyFont="1" applyFill="1" applyBorder="1" applyAlignment="1" applyProtection="1">
      <alignment horizontal="left" vertical="top" wrapText="1"/>
      <protection locked="0"/>
    </xf>
    <xf numFmtId="0" fontId="4" fillId="4" borderId="73" xfId="0" applyFont="1" applyFill="1" applyBorder="1" applyAlignment="1" applyProtection="1">
      <alignment horizontal="left" vertical="top" wrapText="1"/>
      <protection locked="0"/>
    </xf>
    <xf numFmtId="164" fontId="4" fillId="4" borderId="68" xfId="0" applyNumberFormat="1" applyFont="1" applyFill="1" applyBorder="1" applyAlignment="1" applyProtection="1">
      <alignment horizontal="left" vertical="top" wrapText="1"/>
      <protection locked="0"/>
    </xf>
    <xf numFmtId="2" fontId="5" fillId="4" borderId="57" xfId="0" applyNumberFormat="1" applyFont="1" applyFill="1" applyBorder="1" applyAlignment="1" applyProtection="1">
      <alignment horizontal="right" vertical="top" wrapText="1"/>
      <protection locked="0"/>
    </xf>
    <xf numFmtId="0" fontId="4" fillId="4" borderId="75" xfId="0" applyFont="1" applyFill="1" applyBorder="1" applyAlignment="1" applyProtection="1">
      <alignment horizontal="left" vertical="top" wrapText="1"/>
      <protection locked="0"/>
    </xf>
    <xf numFmtId="2" fontId="4" fillId="0" borderId="0" xfId="0" applyNumberFormat="1" applyFont="1" applyAlignment="1">
      <alignment horizontal="left" vertical="center" wrapText="1"/>
    </xf>
    <xf numFmtId="0" fontId="4" fillId="4" borderId="15" xfId="0" applyFont="1" applyFill="1" applyBorder="1" applyAlignment="1" applyProtection="1">
      <alignment horizontal="left" vertical="top" wrapText="1"/>
      <protection locked="0"/>
    </xf>
    <xf numFmtId="0" fontId="4" fillId="4" borderId="62" xfId="0" applyFont="1" applyFill="1" applyBorder="1" applyAlignment="1" applyProtection="1">
      <alignment horizontal="left" vertical="top" wrapText="1"/>
      <protection locked="0"/>
    </xf>
    <xf numFmtId="0" fontId="4" fillId="4" borderId="63" xfId="0" applyFont="1" applyFill="1" applyBorder="1" applyAlignment="1" applyProtection="1">
      <alignment horizontal="left" vertical="top" wrapText="1"/>
      <protection locked="0"/>
    </xf>
    <xf numFmtId="0" fontId="4" fillId="4" borderId="54" xfId="0" applyFont="1" applyFill="1" applyBorder="1" applyAlignment="1" applyProtection="1">
      <alignment horizontal="left" vertical="top" wrapText="1"/>
      <protection locked="0"/>
    </xf>
    <xf numFmtId="0" fontId="5" fillId="0" borderId="0" xfId="0" applyFont="1" applyAlignment="1">
      <alignment horizontal="left" vertical="top" wrapText="1"/>
    </xf>
    <xf numFmtId="165" fontId="19" fillId="0" borderId="0" xfId="0" applyNumberFormat="1" applyFont="1" applyAlignment="1">
      <alignment horizontal="center" vertical="top"/>
    </xf>
    <xf numFmtId="0" fontId="17" fillId="0" borderId="0" xfId="4" applyBorder="1" applyAlignment="1">
      <alignment horizontal="center" vertical="top"/>
    </xf>
    <xf numFmtId="2" fontId="18" fillId="0" borderId="0" xfId="3" applyNumberFormat="1" applyFont="1" applyBorder="1" applyAlignment="1">
      <alignment horizontal="center" vertical="top" wrapText="1"/>
    </xf>
    <xf numFmtId="166" fontId="19" fillId="2" borderId="0" xfId="0" applyNumberFormat="1" applyFont="1" applyFill="1" applyAlignment="1">
      <alignment horizontal="center" vertical="top"/>
    </xf>
    <xf numFmtId="166" fontId="19" fillId="0" borderId="0" xfId="0" applyNumberFormat="1" applyFont="1" applyAlignment="1">
      <alignment horizontal="center" vertical="top"/>
    </xf>
    <xf numFmtId="0" fontId="18" fillId="0" borderId="0" xfId="3" applyFont="1" applyBorder="1" applyAlignment="1">
      <alignment horizontal="center" vertical="top" wrapText="1"/>
    </xf>
    <xf numFmtId="166" fontId="20" fillId="2" borderId="0" xfId="0" applyNumberFormat="1" applyFont="1" applyFill="1" applyAlignment="1">
      <alignment horizontal="center" vertical="top"/>
    </xf>
    <xf numFmtId="167" fontId="19" fillId="2" borderId="0" xfId="0" applyNumberFormat="1" applyFont="1" applyFill="1" applyAlignment="1">
      <alignment horizontal="center" vertical="top"/>
    </xf>
    <xf numFmtId="165" fontId="18" fillId="0" borderId="0" xfId="3" applyNumberFormat="1" applyFont="1" applyBorder="1" applyAlignment="1">
      <alignment horizontal="center" vertical="top" wrapText="1"/>
    </xf>
    <xf numFmtId="165" fontId="19" fillId="2" borderId="0" xfId="0" applyNumberFormat="1" applyFont="1" applyFill="1" applyAlignment="1">
      <alignment horizontal="center" vertical="top"/>
    </xf>
    <xf numFmtId="0" fontId="4" fillId="4" borderId="18" xfId="0" applyFont="1" applyFill="1" applyBorder="1" applyAlignment="1" applyProtection="1">
      <alignment horizontal="left" vertical="top" wrapText="1"/>
      <protection locked="0"/>
    </xf>
    <xf numFmtId="0" fontId="4" fillId="4" borderId="14" xfId="0" applyFont="1" applyFill="1" applyBorder="1" applyAlignment="1" applyProtection="1">
      <alignment horizontal="left" vertical="top" wrapText="1"/>
      <protection locked="0"/>
    </xf>
    <xf numFmtId="0" fontId="4" fillId="4" borderId="13" xfId="0" applyFont="1" applyFill="1" applyBorder="1" applyAlignment="1" applyProtection="1">
      <alignment horizontal="left" vertical="top" wrapText="1"/>
      <protection locked="0"/>
    </xf>
    <xf numFmtId="0" fontId="4" fillId="4" borderId="1" xfId="0" applyFont="1" applyFill="1" applyBorder="1" applyAlignment="1" applyProtection="1">
      <alignment horizontal="left" vertical="top" wrapText="1"/>
      <protection locked="0"/>
    </xf>
    <xf numFmtId="0" fontId="4" fillId="4" borderId="71" xfId="0" applyFont="1" applyFill="1" applyBorder="1" applyAlignment="1" applyProtection="1">
      <alignment horizontal="left" vertical="top" wrapText="1"/>
      <protection locked="0"/>
    </xf>
    <xf numFmtId="164" fontId="5" fillId="3" borderId="74" xfId="0" applyNumberFormat="1" applyFont="1" applyFill="1" applyBorder="1" applyAlignment="1">
      <alignment horizontal="center" vertical="center" wrapText="1"/>
    </xf>
    <xf numFmtId="49" fontId="5" fillId="0" borderId="0" xfId="0" applyNumberFormat="1" applyFont="1" applyAlignment="1">
      <alignment horizontal="left" vertical="top"/>
    </xf>
    <xf numFmtId="0" fontId="4" fillId="4" borderId="3" xfId="0" applyFont="1" applyFill="1" applyBorder="1" applyAlignment="1" applyProtection="1">
      <alignment horizontal="left" vertical="top" wrapText="1"/>
      <protection locked="0"/>
    </xf>
    <xf numFmtId="0" fontId="4" fillId="4" borderId="17" xfId="0" applyFont="1" applyFill="1" applyBorder="1" applyAlignment="1" applyProtection="1">
      <alignment horizontal="left" vertical="top" wrapText="1"/>
      <protection locked="0"/>
    </xf>
    <xf numFmtId="0" fontId="4" fillId="4" borderId="11" xfId="0" applyFont="1" applyFill="1" applyBorder="1" applyAlignment="1" applyProtection="1">
      <alignment horizontal="left" vertical="top" wrapText="1"/>
      <protection locked="0"/>
    </xf>
    <xf numFmtId="0" fontId="5" fillId="0" borderId="0" xfId="0" applyFont="1"/>
    <xf numFmtId="0" fontId="4" fillId="0" borderId="28" xfId="0" applyFont="1" applyBorder="1" applyAlignment="1">
      <alignment horizontal="right" vertical="top" wrapText="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7" xfId="0" applyFont="1"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8"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6"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6" xfId="0" applyFont="1" applyBorder="1" applyAlignment="1">
      <alignment horizontal="left" vertical="top"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19" xfId="0" applyFont="1" applyBorder="1" applyAlignment="1">
      <alignment horizontal="right" vertical="top" wrapText="1"/>
    </xf>
    <xf numFmtId="0" fontId="4" fillId="0" borderId="25" xfId="0" applyFont="1" applyBorder="1" applyAlignment="1">
      <alignment horizontal="right" vertical="top" wrapText="1"/>
    </xf>
    <xf numFmtId="0" fontId="4" fillId="0" borderId="21" xfId="0" applyFont="1" applyBorder="1" applyAlignment="1">
      <alignment horizontal="righ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4" xfId="0" applyFont="1" applyBorder="1" applyAlignment="1">
      <alignment horizontal="right" vertical="top" wrapText="1"/>
    </xf>
    <xf numFmtId="0" fontId="4" fillId="0" borderId="28" xfId="0" quotePrefix="1" applyFont="1" applyBorder="1" applyAlignment="1" applyProtection="1">
      <alignment horizontal="right" vertical="top" wrapText="1"/>
      <protection locked="0"/>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61" xfId="1" applyNumberFormat="1" applyFont="1" applyFill="1" applyBorder="1" applyAlignment="1" applyProtection="1">
      <alignment horizontal="left" vertical="top"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4" fillId="0" borderId="22" xfId="2" applyBorder="1" applyAlignment="1">
      <alignment horizontal="left" vertical="top" wrapText="1"/>
    </xf>
    <xf numFmtId="0" fontId="4" fillId="2" borderId="20" xfId="2" applyFill="1" applyBorder="1" applyAlignment="1">
      <alignment horizontal="left" vertical="top" wrapText="1"/>
    </xf>
    <xf numFmtId="164" fontId="4" fillId="0" borderId="0" xfId="0" applyNumberFormat="1" applyFont="1" applyAlignment="1">
      <alignment horizontal="center" vertical="top" wrapText="1"/>
    </xf>
    <xf numFmtId="2" fontId="4" fillId="0" borderId="10" xfId="0" applyNumberFormat="1" applyFont="1" applyBorder="1" applyAlignment="1">
      <alignment horizontal="center" vertical="top"/>
    </xf>
    <xf numFmtId="164" fontId="4" fillId="4" borderId="28" xfId="0" applyNumberFormat="1" applyFont="1" applyFill="1" applyBorder="1" applyAlignment="1" applyProtection="1">
      <alignment horizontal="right" vertical="top" wrapText="1"/>
      <protection locked="0"/>
    </xf>
    <xf numFmtId="0" fontId="4" fillId="0" borderId="88" xfId="0" applyFont="1" applyBorder="1" applyAlignment="1">
      <alignment horizontal="right" vertical="top" wrapText="1"/>
    </xf>
    <xf numFmtId="164" fontId="4" fillId="4" borderId="14" xfId="0" applyNumberFormat="1" applyFont="1" applyFill="1" applyBorder="1" applyAlignment="1" applyProtection="1">
      <alignment horizontal="right" vertical="top" wrapText="1"/>
      <protection locked="0"/>
    </xf>
    <xf numFmtId="164" fontId="4" fillId="4" borderId="3" xfId="0" applyNumberFormat="1" applyFont="1" applyFill="1" applyBorder="1" applyAlignment="1" applyProtection="1">
      <alignment horizontal="right" vertical="top" wrapText="1"/>
      <protection locked="0"/>
    </xf>
    <xf numFmtId="164" fontId="5" fillId="4" borderId="3" xfId="0" applyNumberFormat="1" applyFont="1" applyFill="1" applyBorder="1" applyAlignment="1" applyProtection="1">
      <alignment horizontal="right" vertical="top" wrapText="1"/>
      <protection locked="0"/>
    </xf>
    <xf numFmtId="0" fontId="4" fillId="0" borderId="90" xfId="0" applyFont="1" applyBorder="1" applyAlignment="1">
      <alignment vertical="top" wrapText="1"/>
    </xf>
    <xf numFmtId="0" fontId="4" fillId="0" borderId="91"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2" borderId="3" xfId="0" applyFont="1" applyFill="1" applyBorder="1" applyAlignment="1" applyProtection="1">
      <alignment horizontal="left" vertical="top" wrapText="1"/>
      <protection locked="0"/>
    </xf>
    <xf numFmtId="0" fontId="5" fillId="3" borderId="34"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5" xfId="0" applyFont="1" applyFill="1" applyBorder="1" applyAlignment="1">
      <alignment horizontal="left" vertical="center" wrapText="1"/>
    </xf>
    <xf numFmtId="164" fontId="5" fillId="0" borderId="8" xfId="0" applyNumberFormat="1" applyFont="1" applyBorder="1" applyAlignment="1">
      <alignment horizontal="right" vertical="center" wrapText="1"/>
    </xf>
    <xf numFmtId="164" fontId="4" fillId="0" borderId="13" xfId="0" applyNumberFormat="1" applyFont="1" applyBorder="1" applyAlignment="1">
      <alignment horizontal="center" vertical="top" wrapText="1"/>
    </xf>
    <xf numFmtId="2" fontId="4" fillId="0" borderId="13" xfId="0" applyNumberFormat="1" applyFont="1" applyBorder="1" applyAlignment="1">
      <alignment horizontal="center" vertical="top"/>
    </xf>
    <xf numFmtId="164" fontId="4" fillId="4" borderId="13" xfId="0" applyNumberFormat="1" applyFont="1" applyFill="1" applyBorder="1" applyAlignment="1" applyProtection="1">
      <alignment horizontal="right" vertical="top" wrapText="1"/>
      <protection locked="0"/>
    </xf>
    <xf numFmtId="164" fontId="4" fillId="4" borderId="88" xfId="0" applyNumberFormat="1" applyFont="1" applyFill="1" applyBorder="1" applyAlignment="1" applyProtection="1">
      <alignment horizontal="right" vertical="top" wrapText="1"/>
      <protection locked="0"/>
    </xf>
    <xf numFmtId="0" fontId="4" fillId="4" borderId="28" xfId="0" applyFont="1" applyFill="1" applyBorder="1" applyAlignment="1" applyProtection="1">
      <alignment horizontal="left" vertical="top" wrapText="1"/>
      <protection locked="0"/>
    </xf>
    <xf numFmtId="2" fontId="4" fillId="0" borderId="14" xfId="0" applyNumberFormat="1" applyFont="1" applyBorder="1" applyAlignment="1">
      <alignment horizontal="center" vertical="top"/>
    </xf>
    <xf numFmtId="0" fontId="4" fillId="4" borderId="8" xfId="0" applyFont="1" applyFill="1" applyBorder="1" applyAlignment="1" applyProtection="1">
      <alignment horizontal="left" vertical="top" wrapText="1"/>
      <protection locked="0"/>
    </xf>
    <xf numFmtId="0" fontId="4" fillId="0" borderId="6" xfId="0" applyFont="1" applyBorder="1" applyAlignment="1">
      <alignment horizontal="right" vertical="top" wrapText="1"/>
    </xf>
    <xf numFmtId="2" fontId="4" fillId="0" borderId="17" xfId="0" applyNumberFormat="1" applyFont="1" applyBorder="1" applyAlignment="1">
      <alignment horizontal="center" vertical="top"/>
    </xf>
    <xf numFmtId="0" fontId="4" fillId="4" borderId="74" xfId="0" applyFont="1" applyFill="1" applyBorder="1" applyAlignment="1" applyProtection="1">
      <alignment horizontal="left" vertical="top" wrapText="1"/>
      <protection locked="0"/>
    </xf>
    <xf numFmtId="0" fontId="4" fillId="4" borderId="19" xfId="0" applyFont="1" applyFill="1" applyBorder="1" applyAlignment="1" applyProtection="1">
      <alignment horizontal="left" vertical="top" wrapText="1"/>
      <protection locked="0"/>
    </xf>
    <xf numFmtId="164" fontId="4" fillId="4" borderId="17" xfId="0" applyNumberFormat="1" applyFont="1" applyFill="1" applyBorder="1" applyAlignment="1" applyProtection="1">
      <alignment horizontal="right" vertical="top" wrapText="1"/>
      <protection locked="0"/>
    </xf>
    <xf numFmtId="164" fontId="4" fillId="4" borderId="11" xfId="0" applyNumberFormat="1" applyFont="1" applyFill="1" applyBorder="1" applyAlignment="1" applyProtection="1">
      <alignment horizontal="right" vertical="top" wrapText="1"/>
      <protection locked="0"/>
    </xf>
    <xf numFmtId="0" fontId="4" fillId="0" borderId="1" xfId="0" applyFont="1" applyBorder="1" applyAlignment="1" applyProtection="1">
      <alignment horizontal="left" vertical="top" wrapText="1"/>
      <protection locked="0"/>
    </xf>
    <xf numFmtId="164" fontId="4" fillId="0" borderId="14" xfId="0" applyNumberFormat="1" applyFont="1" applyBorder="1" applyAlignment="1">
      <alignment horizontal="center" vertical="top" wrapText="1"/>
    </xf>
    <xf numFmtId="164" fontId="7" fillId="3" borderId="28" xfId="0" applyNumberFormat="1" applyFont="1" applyFill="1" applyBorder="1" applyAlignment="1">
      <alignment horizontal="left" vertical="center" wrapText="1"/>
    </xf>
    <xf numFmtId="0" fontId="4" fillId="0" borderId="11" xfId="0" applyFont="1" applyBorder="1" applyAlignment="1" applyProtection="1">
      <alignment horizontal="left" vertical="top" wrapText="1"/>
      <protection locked="0"/>
    </xf>
    <xf numFmtId="164" fontId="5" fillId="3" borderId="28" xfId="0" applyNumberFormat="1" applyFont="1" applyFill="1" applyBorder="1" applyAlignment="1">
      <alignment horizontal="left" vertical="center" wrapText="1"/>
    </xf>
    <xf numFmtId="164" fontId="7" fillId="3" borderId="1" xfId="0" applyNumberFormat="1" applyFont="1" applyFill="1" applyBorder="1" applyAlignment="1">
      <alignment horizontal="left" vertical="center" wrapText="1"/>
    </xf>
    <xf numFmtId="0" fontId="5" fillId="0" borderId="10" xfId="0" applyFont="1" applyBorder="1" applyAlignment="1">
      <alignment horizontal="left" vertical="top" wrapText="1"/>
    </xf>
    <xf numFmtId="164" fontId="25" fillId="0" borderId="96" xfId="0" applyNumberFormat="1" applyFont="1" applyBorder="1" applyAlignment="1">
      <alignment horizontal="right" vertical="center"/>
    </xf>
    <xf numFmtId="0" fontId="25" fillId="0" borderId="96" xfId="0" applyFont="1" applyBorder="1" applyAlignment="1">
      <alignment horizontal="left" vertical="center" wrapText="1"/>
    </xf>
    <xf numFmtId="164" fontId="4" fillId="0" borderId="98" xfId="0" applyNumberFormat="1" applyFont="1" applyBorder="1" applyAlignment="1">
      <alignment horizontal="right" vertical="top" wrapText="1"/>
    </xf>
    <xf numFmtId="0" fontId="5" fillId="0" borderId="98" xfId="0" applyFont="1" applyBorder="1" applyAlignment="1">
      <alignment horizontal="left" vertical="top" wrapText="1"/>
    </xf>
    <xf numFmtId="2" fontId="5" fillId="4" borderId="1" xfId="0" applyNumberFormat="1" applyFont="1" applyFill="1" applyBorder="1" applyAlignment="1" applyProtection="1">
      <alignment horizontal="right" vertical="top" wrapText="1"/>
      <protection locked="0"/>
    </xf>
    <xf numFmtId="0" fontId="5" fillId="0" borderId="1" xfId="0" applyFont="1" applyBorder="1" applyAlignment="1">
      <alignment horizontal="left" vertical="top" wrapText="1"/>
    </xf>
    <xf numFmtId="164" fontId="4" fillId="0" borderId="3" xfId="0" applyNumberFormat="1" applyFont="1" applyBorder="1" applyAlignment="1">
      <alignment horizontal="right" vertical="top" wrapText="1"/>
    </xf>
    <xf numFmtId="0" fontId="5" fillId="0" borderId="3" xfId="0" applyFont="1" applyBorder="1" applyAlignment="1">
      <alignment horizontal="left" vertical="top" wrapText="1"/>
    </xf>
    <xf numFmtId="164" fontId="5" fillId="0" borderId="96" xfId="0" applyNumberFormat="1" applyFont="1" applyBorder="1" applyAlignment="1">
      <alignment horizontal="center" vertical="center" wrapText="1"/>
    </xf>
    <xf numFmtId="0" fontId="5" fillId="0" borderId="96" xfId="0" applyFont="1" applyBorder="1" applyAlignment="1">
      <alignment horizontal="left" vertical="top" wrapText="1"/>
    </xf>
    <xf numFmtId="0" fontId="4" fillId="0" borderId="3" xfId="0" applyFont="1" applyBorder="1" applyAlignment="1">
      <alignment horizontal="right" vertical="top" wrapText="1"/>
    </xf>
    <xf numFmtId="164" fontId="5" fillId="4" borderId="13" xfId="0" applyNumberFormat="1" applyFont="1" applyFill="1" applyBorder="1" applyAlignment="1" applyProtection="1">
      <alignment horizontal="right" vertical="top" wrapText="1"/>
      <protection locked="0"/>
    </xf>
    <xf numFmtId="0" fontId="4" fillId="0" borderId="102" xfId="0" applyFont="1" applyBorder="1" applyAlignment="1">
      <alignment horizontal="left" vertical="top" wrapText="1"/>
    </xf>
    <xf numFmtId="0" fontId="4" fillId="0" borderId="103" xfId="0" applyFont="1" applyBorder="1" applyAlignment="1">
      <alignment horizontal="left" vertical="top" wrapText="1"/>
    </xf>
    <xf numFmtId="0" fontId="5" fillId="0" borderId="13" xfId="0" applyFont="1" applyBorder="1" applyAlignment="1">
      <alignment horizontal="left" vertical="top" wrapText="1"/>
    </xf>
    <xf numFmtId="164" fontId="5" fillId="3" borderId="104" xfId="0" applyNumberFormat="1" applyFont="1" applyFill="1" applyBorder="1" applyAlignment="1">
      <alignment horizontal="center" vertical="center" wrapText="1"/>
    </xf>
    <xf numFmtId="0" fontId="5" fillId="3" borderId="32" xfId="0" applyFont="1" applyFill="1" applyBorder="1" applyAlignment="1">
      <alignment horizontal="left" vertical="center" wrapText="1"/>
    </xf>
    <xf numFmtId="0" fontId="5" fillId="3" borderId="31" xfId="0" applyFont="1" applyFill="1" applyBorder="1" applyAlignment="1">
      <alignment horizontal="left" vertical="center" wrapText="1"/>
    </xf>
    <xf numFmtId="0" fontId="5" fillId="3" borderId="104" xfId="0" applyFont="1" applyFill="1" applyBorder="1" applyAlignment="1">
      <alignment horizontal="left" vertical="center" wrapText="1"/>
    </xf>
    <xf numFmtId="164" fontId="7" fillId="3" borderId="88" xfId="0" applyNumberFormat="1" applyFont="1" applyFill="1" applyBorder="1" applyAlignment="1">
      <alignment horizontal="left" vertical="center"/>
    </xf>
    <xf numFmtId="0" fontId="4" fillId="0" borderId="106" xfId="0" applyFont="1" applyBorder="1" applyAlignment="1" applyProtection="1">
      <alignment horizontal="left" vertical="top" wrapText="1"/>
      <protection locked="0"/>
    </xf>
    <xf numFmtId="0" fontId="4" fillId="4" borderId="106" xfId="0" applyFont="1" applyFill="1" applyBorder="1" applyAlignment="1" applyProtection="1">
      <alignment horizontal="left" vertical="top" wrapText="1"/>
      <protection locked="0"/>
    </xf>
    <xf numFmtId="0" fontId="5" fillId="0" borderId="106" xfId="0" applyFont="1" applyBorder="1" applyAlignment="1">
      <alignment horizontal="left" vertical="top" wrapText="1"/>
    </xf>
    <xf numFmtId="164" fontId="4" fillId="0" borderId="1" xfId="0" applyNumberFormat="1" applyFont="1" applyBorder="1" applyAlignment="1" applyProtection="1">
      <alignment horizontal="left" vertical="top" wrapText="1"/>
      <protection locked="0"/>
    </xf>
    <xf numFmtId="164" fontId="4" fillId="4" borderId="1" xfId="0" applyNumberFormat="1" applyFont="1" applyFill="1" applyBorder="1" applyAlignment="1" applyProtection="1">
      <alignment horizontal="left" vertical="top" wrapText="1"/>
      <protection locked="0"/>
    </xf>
    <xf numFmtId="0" fontId="4" fillId="0" borderId="91" xfId="0" applyFont="1" applyBorder="1" applyAlignment="1">
      <alignment horizontal="left" vertical="top" wrapText="1"/>
    </xf>
    <xf numFmtId="0" fontId="4" fillId="0" borderId="4" xfId="0" applyFont="1" applyBorder="1" applyAlignment="1">
      <alignment horizontal="left" vertical="top" wrapText="1"/>
    </xf>
    <xf numFmtId="0" fontId="5" fillId="0" borderId="11" xfId="0" applyFont="1" applyBorder="1" applyAlignment="1">
      <alignment horizontal="left" vertical="top" wrapText="1"/>
    </xf>
    <xf numFmtId="0" fontId="4" fillId="0" borderId="98" xfId="0" applyFont="1" applyBorder="1" applyAlignment="1" applyProtection="1">
      <alignment horizontal="left" vertical="top" wrapText="1"/>
      <protection locked="0"/>
    </xf>
    <xf numFmtId="0" fontId="4" fillId="4" borderId="98" xfId="0" applyFont="1" applyFill="1" applyBorder="1" applyAlignment="1" applyProtection="1">
      <alignment horizontal="left" vertical="top" wrapText="1"/>
      <protection locked="0"/>
    </xf>
    <xf numFmtId="0" fontId="4" fillId="0" borderId="96" xfId="0" applyFont="1" applyBorder="1" applyAlignment="1" applyProtection="1">
      <alignment horizontal="left" vertical="top" wrapText="1"/>
      <protection locked="0"/>
    </xf>
    <xf numFmtId="0" fontId="4" fillId="4" borderId="96" xfId="0" applyFont="1" applyFill="1" applyBorder="1" applyAlignment="1" applyProtection="1">
      <alignment horizontal="left" vertical="top" wrapText="1"/>
      <protection locked="0"/>
    </xf>
    <xf numFmtId="164" fontId="5" fillId="3" borderId="104" xfId="0" applyNumberFormat="1" applyFont="1" applyFill="1" applyBorder="1" applyAlignment="1" applyProtection="1">
      <alignment horizontal="center" vertical="center" wrapText="1"/>
      <protection locked="0"/>
    </xf>
    <xf numFmtId="164" fontId="5" fillId="3" borderId="31" xfId="0" applyNumberFormat="1" applyFont="1" applyFill="1" applyBorder="1" applyAlignment="1">
      <alignment horizontal="center" vertical="center" wrapText="1"/>
    </xf>
    <xf numFmtId="2" fontId="4" fillId="2" borderId="0" xfId="0" applyNumberFormat="1" applyFont="1" applyFill="1" applyAlignment="1">
      <alignment vertical="center" wrapText="1"/>
    </xf>
    <xf numFmtId="0" fontId="27" fillId="15" borderId="107" xfId="5" applyFont="1" applyFill="1" applyBorder="1" applyAlignment="1">
      <alignment horizontal="left" vertical="top" wrapText="1"/>
    </xf>
    <xf numFmtId="0" fontId="28" fillId="15" borderId="107" xfId="5" applyFont="1" applyFill="1" applyBorder="1" applyAlignment="1">
      <alignment horizontal="left" vertical="top" wrapText="1"/>
    </xf>
    <xf numFmtId="1" fontId="29" fillId="15" borderId="107" xfId="5" applyNumberFormat="1" applyFont="1" applyFill="1" applyBorder="1" applyAlignment="1">
      <alignment horizontal="left" vertical="top" shrinkToFit="1"/>
    </xf>
    <xf numFmtId="0" fontId="27" fillId="15" borderId="107" xfId="5" applyFont="1" applyFill="1" applyBorder="1" applyAlignment="1">
      <alignment horizontal="left" vertical="center" wrapText="1"/>
    </xf>
    <xf numFmtId="0" fontId="28" fillId="15" borderId="107" xfId="5" applyFont="1" applyFill="1" applyBorder="1" applyAlignment="1">
      <alignment horizontal="left" vertical="center" wrapText="1"/>
    </xf>
    <xf numFmtId="164" fontId="2" fillId="0" borderId="0" xfId="0" applyNumberFormat="1" applyFont="1" applyAlignment="1">
      <alignment horizontal="center" vertical="center"/>
    </xf>
    <xf numFmtId="164" fontId="3" fillId="0" borderId="0" xfId="0" applyNumberFormat="1" applyFont="1" applyAlignment="1">
      <alignment horizontal="center" vertical="center" wrapText="1"/>
    </xf>
    <xf numFmtId="2" fontId="4" fillId="0" borderId="6" xfId="0" applyNumberFormat="1" applyFont="1" applyBorder="1" applyAlignment="1">
      <alignment horizontal="left" vertical="center" wrapText="1"/>
    </xf>
    <xf numFmtId="164" fontId="7" fillId="0" borderId="0" xfId="0" applyNumberFormat="1" applyFont="1" applyAlignment="1">
      <alignment horizontal="left" vertical="center"/>
    </xf>
    <xf numFmtId="0" fontId="5" fillId="3" borderId="35" xfId="0" applyFont="1" applyFill="1" applyBorder="1" applyAlignment="1">
      <alignment horizontal="left" vertical="center" wrapText="1"/>
    </xf>
    <xf numFmtId="0" fontId="4" fillId="0" borderId="39" xfId="0" applyFont="1" applyBorder="1" applyAlignment="1">
      <alignment horizontal="left" vertical="top" wrapText="1"/>
    </xf>
    <xf numFmtId="0" fontId="5" fillId="0" borderId="15" xfId="0" applyFont="1" applyBorder="1" applyAlignment="1">
      <alignment horizontal="left" vertical="top" wrapText="1"/>
    </xf>
    <xf numFmtId="164" fontId="5" fillId="4" borderId="34" xfId="0" applyNumberFormat="1" applyFont="1" applyFill="1" applyBorder="1" applyAlignment="1" applyProtection="1">
      <alignment horizontal="right" vertical="top" wrapText="1"/>
      <protection locked="0"/>
    </xf>
    <xf numFmtId="164" fontId="5" fillId="0" borderId="0" xfId="1" applyNumberFormat="1" applyFont="1" applyFill="1" applyBorder="1" applyAlignment="1" applyProtection="1">
      <alignment horizontal="right" vertical="top"/>
    </xf>
    <xf numFmtId="164" fontId="7" fillId="0" borderId="0" xfId="0" applyNumberFormat="1" applyFont="1" applyAlignment="1">
      <alignment horizontal="left" vertical="center" wrapText="1"/>
    </xf>
    <xf numFmtId="0" fontId="4" fillId="0" borderId="19" xfId="2" applyBorder="1" applyAlignment="1">
      <alignment horizontal="left" vertical="top" wrapText="1"/>
    </xf>
    <xf numFmtId="0" fontId="4" fillId="0" borderId="109" xfId="2" applyBorder="1" applyAlignment="1">
      <alignment horizontal="left" vertical="top" wrapText="1"/>
    </xf>
    <xf numFmtId="0" fontId="4" fillId="0" borderId="28" xfId="2" applyBorder="1" applyAlignment="1">
      <alignment horizontal="left" vertical="top" wrapText="1"/>
    </xf>
    <xf numFmtId="0" fontId="4" fillId="0" borderId="10" xfId="2" applyBorder="1" applyAlignment="1">
      <alignment horizontal="left" vertical="top" wrapText="1"/>
    </xf>
    <xf numFmtId="0" fontId="5" fillId="3" borderId="2" xfId="0" applyFont="1" applyFill="1" applyBorder="1" applyAlignment="1">
      <alignment horizontal="left" vertical="center" wrapText="1"/>
    </xf>
    <xf numFmtId="0" fontId="4" fillId="2" borderId="19" xfId="2" applyFill="1" applyBorder="1" applyAlignment="1">
      <alignment horizontal="left" vertical="top" wrapText="1"/>
    </xf>
    <xf numFmtId="0" fontId="4" fillId="0" borderId="28" xfId="2" applyBorder="1" applyAlignment="1">
      <alignment vertical="top" wrapText="1"/>
    </xf>
    <xf numFmtId="0" fontId="4" fillId="4" borderId="93" xfId="0" applyFont="1" applyFill="1" applyBorder="1" applyAlignment="1" applyProtection="1">
      <alignment horizontal="left" vertical="top" wrapText="1"/>
      <protection locked="0"/>
    </xf>
    <xf numFmtId="0" fontId="5" fillId="3" borderId="76" xfId="0" applyFont="1" applyFill="1" applyBorder="1" applyAlignment="1">
      <alignment horizontal="left" vertical="center" wrapText="1"/>
    </xf>
    <xf numFmtId="0" fontId="5" fillId="3" borderId="33" xfId="0" applyFont="1" applyFill="1" applyBorder="1" applyAlignment="1">
      <alignment horizontal="left" vertical="center" wrapText="1"/>
    </xf>
    <xf numFmtId="0" fontId="4" fillId="0" borderId="2" xfId="2" applyBorder="1" applyAlignment="1">
      <alignment horizontal="left" vertical="top" wrapText="1"/>
    </xf>
    <xf numFmtId="164" fontId="4" fillId="4" borderId="65" xfId="0" applyNumberFormat="1" applyFont="1" applyFill="1" applyBorder="1" applyAlignment="1" applyProtection="1">
      <alignment horizontal="right" vertical="top" wrapText="1"/>
      <protection locked="0"/>
    </xf>
    <xf numFmtId="0" fontId="4" fillId="0" borderId="20" xfId="0" applyFont="1" applyBorder="1" applyAlignment="1">
      <alignment vertical="top" wrapText="1"/>
    </xf>
    <xf numFmtId="0" fontId="4" fillId="0" borderId="0" xfId="0" applyFont="1" applyAlignment="1">
      <alignment vertical="top" wrapText="1"/>
    </xf>
    <xf numFmtId="164" fontId="4" fillId="4" borderId="53" xfId="0" applyNumberFormat="1" applyFont="1" applyFill="1" applyBorder="1" applyAlignment="1" applyProtection="1">
      <alignment horizontal="right" vertical="top" wrapText="1"/>
      <protection locked="0"/>
    </xf>
    <xf numFmtId="0" fontId="4" fillId="2" borderId="2" xfId="2" applyFill="1" applyBorder="1" applyAlignment="1">
      <alignment horizontal="left" vertical="top" wrapText="1"/>
    </xf>
    <xf numFmtId="0" fontId="4" fillId="0" borderId="21" xfId="2" applyBorder="1" applyAlignment="1">
      <alignment horizontal="left" vertical="top" wrapText="1"/>
    </xf>
    <xf numFmtId="164" fontId="4" fillId="4" borderId="16" xfId="0" applyNumberFormat="1" applyFont="1" applyFill="1" applyBorder="1" applyAlignment="1" applyProtection="1">
      <alignment horizontal="right" vertical="top" wrapText="1"/>
      <protection locked="0"/>
    </xf>
    <xf numFmtId="164" fontId="7" fillId="3" borderId="1" xfId="0" applyNumberFormat="1" applyFont="1" applyFill="1" applyBorder="1" applyAlignment="1">
      <alignment horizontal="left" vertical="center"/>
    </xf>
    <xf numFmtId="0" fontId="4" fillId="2" borderId="25" xfId="1" applyNumberFormat="1" applyFont="1" applyFill="1" applyBorder="1" applyAlignment="1" applyProtection="1">
      <alignment horizontal="left" vertical="top" wrapText="1"/>
    </xf>
    <xf numFmtId="0" fontId="4" fillId="2" borderId="33" xfId="1" applyNumberFormat="1" applyFont="1" applyFill="1" applyBorder="1" applyAlignment="1" applyProtection="1">
      <alignment horizontal="left" vertical="top" wrapText="1"/>
    </xf>
    <xf numFmtId="0" fontId="4" fillId="0" borderId="14" xfId="0" applyFont="1" applyBorder="1" applyAlignment="1">
      <alignment vertical="top" wrapText="1"/>
    </xf>
    <xf numFmtId="0" fontId="4" fillId="2" borderId="13" xfId="0" applyFont="1" applyFill="1" applyBorder="1" applyAlignment="1" applyProtection="1">
      <alignment horizontal="left" vertical="top" wrapText="1"/>
      <protection locked="0"/>
    </xf>
    <xf numFmtId="164" fontId="7" fillId="3" borderId="2" xfId="0" applyNumberFormat="1" applyFont="1" applyFill="1" applyBorder="1" applyAlignment="1">
      <alignment horizontal="left" vertical="center" wrapText="1"/>
    </xf>
    <xf numFmtId="0" fontId="4" fillId="4" borderId="78" xfId="0" applyFont="1" applyFill="1" applyBorder="1" applyAlignment="1" applyProtection="1">
      <alignment horizontal="left" vertical="top" wrapText="1"/>
      <protection locked="0"/>
    </xf>
    <xf numFmtId="0" fontId="4" fillId="4" borderId="94" xfId="0" applyFont="1" applyFill="1" applyBorder="1" applyAlignment="1" applyProtection="1">
      <alignment horizontal="left" vertical="top" wrapText="1"/>
      <protection locked="0"/>
    </xf>
    <xf numFmtId="164" fontId="5" fillId="3" borderId="105" xfId="0" applyNumberFormat="1" applyFont="1" applyFill="1" applyBorder="1" applyAlignment="1">
      <alignment horizontal="center" vertical="center" wrapText="1"/>
    </xf>
    <xf numFmtId="164" fontId="5" fillId="4" borderId="88" xfId="0" applyNumberFormat="1" applyFont="1" applyFill="1" applyBorder="1" applyAlignment="1" applyProtection="1">
      <alignment horizontal="right" vertical="top" wrapText="1"/>
      <protection locked="0"/>
    </xf>
    <xf numFmtId="2" fontId="5" fillId="4" borderId="94" xfId="0" applyNumberFormat="1" applyFont="1" applyFill="1" applyBorder="1" applyAlignment="1" applyProtection="1">
      <alignment horizontal="right" vertical="top" wrapText="1"/>
      <protection locked="0"/>
    </xf>
    <xf numFmtId="164" fontId="7" fillId="3" borderId="94" xfId="0" applyNumberFormat="1" applyFont="1" applyFill="1" applyBorder="1" applyAlignment="1">
      <alignment horizontal="left" vertical="center" wrapText="1"/>
    </xf>
    <xf numFmtId="164" fontId="5" fillId="3" borderId="6" xfId="0" applyNumberFormat="1" applyFont="1" applyFill="1" applyBorder="1" applyAlignment="1">
      <alignment horizontal="left" vertical="center" wrapText="1"/>
    </xf>
    <xf numFmtId="0" fontId="4" fillId="4" borderId="84" xfId="0" applyFont="1" applyFill="1" applyBorder="1" applyAlignment="1" applyProtection="1">
      <alignment horizontal="left" vertical="top" wrapText="1"/>
      <protection locked="0"/>
    </xf>
    <xf numFmtId="0" fontId="4" fillId="4" borderId="85" xfId="0" applyFont="1" applyFill="1" applyBorder="1" applyAlignment="1" applyProtection="1">
      <alignment horizontal="left" vertical="top" wrapText="1"/>
      <protection locked="0"/>
    </xf>
    <xf numFmtId="0" fontId="4" fillId="4" borderId="88" xfId="0" applyFont="1" applyFill="1" applyBorder="1" applyAlignment="1" applyProtection="1">
      <alignment horizontal="left" vertical="top" wrapText="1"/>
      <protection locked="0"/>
    </xf>
    <xf numFmtId="0" fontId="4" fillId="4" borderId="90" xfId="0" applyFont="1" applyFill="1" applyBorder="1" applyAlignment="1" applyProtection="1">
      <alignment horizontal="left" vertical="top" wrapText="1"/>
      <protection locked="0"/>
    </xf>
    <xf numFmtId="0" fontId="4" fillId="4" borderId="82" xfId="0" applyFont="1" applyFill="1" applyBorder="1" applyAlignment="1" applyProtection="1">
      <alignment horizontal="left" vertical="top" wrapText="1"/>
      <protection locked="0"/>
    </xf>
    <xf numFmtId="0" fontId="5" fillId="3" borderId="94" xfId="0" applyFont="1" applyFill="1" applyBorder="1" applyAlignment="1">
      <alignment horizontal="left" vertical="center" wrapText="1"/>
    </xf>
    <xf numFmtId="0" fontId="4" fillId="4" borderId="92" xfId="0" applyFont="1" applyFill="1" applyBorder="1" applyAlignment="1" applyProtection="1">
      <alignment horizontal="left" vertical="top" wrapText="1"/>
      <protection locked="0"/>
    </xf>
    <xf numFmtId="0" fontId="4" fillId="4" borderId="6" xfId="0" applyFont="1" applyFill="1" applyBorder="1" applyAlignment="1" applyProtection="1">
      <alignment horizontal="left" vertical="top" wrapText="1"/>
      <protection locked="0"/>
    </xf>
    <xf numFmtId="164" fontId="5" fillId="4" borderId="90" xfId="0" applyNumberFormat="1" applyFont="1" applyFill="1" applyBorder="1" applyAlignment="1" applyProtection="1">
      <alignment horizontal="right" vertical="top" wrapText="1"/>
      <protection locked="0"/>
    </xf>
    <xf numFmtId="164" fontId="2" fillId="0" borderId="0" xfId="0" applyNumberFormat="1" applyFont="1" applyAlignment="1">
      <alignment vertical="center"/>
    </xf>
    <xf numFmtId="164" fontId="5" fillId="3" borderId="34" xfId="0" applyNumberFormat="1" applyFont="1" applyFill="1" applyBorder="1" applyAlignment="1">
      <alignment horizontal="center" vertical="center"/>
    </xf>
    <xf numFmtId="164" fontId="5" fillId="3" borderId="86" xfId="0" applyNumberFormat="1" applyFont="1" applyFill="1" applyBorder="1" applyAlignment="1">
      <alignment horizontal="center" vertical="center" wrapText="1"/>
    </xf>
    <xf numFmtId="0" fontId="19" fillId="0" borderId="0" xfId="3" applyFont="1" applyBorder="1" applyAlignment="1">
      <alignment horizontal="center" vertical="top"/>
    </xf>
    <xf numFmtId="2" fontId="19" fillId="0" borderId="0" xfId="3" applyNumberFormat="1" applyFont="1" applyBorder="1" applyAlignment="1">
      <alignment horizontal="center" vertical="top" wrapText="1"/>
    </xf>
    <xf numFmtId="0" fontId="19" fillId="0" borderId="0" xfId="3" applyFont="1" applyBorder="1" applyAlignment="1">
      <alignment horizontal="center" vertical="top" wrapText="1"/>
    </xf>
    <xf numFmtId="165" fontId="19" fillId="0" borderId="0" xfId="3" applyNumberFormat="1" applyFont="1" applyBorder="1" applyAlignment="1">
      <alignment horizontal="center" vertical="top" wrapText="1"/>
    </xf>
    <xf numFmtId="0" fontId="5" fillId="3" borderId="18" xfId="0" applyFont="1" applyFill="1" applyBorder="1" applyAlignment="1">
      <alignment horizontal="left" vertical="center" wrapText="1"/>
    </xf>
    <xf numFmtId="164" fontId="8" fillId="0" borderId="0" xfId="0" applyNumberFormat="1" applyFont="1" applyAlignment="1">
      <alignment horizontal="center" vertical="center"/>
    </xf>
    <xf numFmtId="164" fontId="7" fillId="3" borderId="76" xfId="0" applyNumberFormat="1" applyFont="1" applyFill="1" applyBorder="1" applyAlignment="1">
      <alignment horizontal="left" vertical="center"/>
    </xf>
    <xf numFmtId="164" fontId="7" fillId="3" borderId="33" xfId="0" applyNumberFormat="1" applyFont="1" applyFill="1" applyBorder="1" applyAlignment="1">
      <alignment horizontal="left" vertical="center" wrapText="1"/>
    </xf>
    <xf numFmtId="164" fontId="7" fillId="3" borderId="60" xfId="0" applyNumberFormat="1" applyFont="1" applyFill="1" applyBorder="1" applyAlignment="1">
      <alignment horizontal="left" vertical="center" wrapText="1"/>
    </xf>
    <xf numFmtId="0" fontId="4" fillId="0" borderId="0" xfId="0" quotePrefix="1" applyFont="1" applyAlignment="1">
      <alignment horizontal="right" vertical="top" wrapText="1"/>
    </xf>
    <xf numFmtId="164" fontId="7" fillId="3" borderId="28" xfId="0" applyNumberFormat="1" applyFont="1" applyFill="1" applyBorder="1" applyAlignment="1">
      <alignment horizontal="left" vertical="center"/>
    </xf>
    <xf numFmtId="164" fontId="4" fillId="0" borderId="0" xfId="0" applyNumberFormat="1" applyFont="1" applyAlignment="1">
      <alignment horizontal="left" vertical="center"/>
    </xf>
    <xf numFmtId="164" fontId="7" fillId="0" borderId="0" xfId="0" applyNumberFormat="1" applyFont="1" applyAlignment="1">
      <alignment horizontal="left" vertical="top" wrapText="1"/>
    </xf>
    <xf numFmtId="0" fontId="4" fillId="2" borderId="3" xfId="0" applyFont="1" applyFill="1" applyBorder="1" applyAlignment="1">
      <alignment horizontal="left" vertical="top" wrapText="1"/>
    </xf>
    <xf numFmtId="0" fontId="4" fillId="0" borderId="54" xfId="0" applyFont="1" applyBorder="1" applyAlignment="1">
      <alignment horizontal="left" vertical="top" wrapText="1"/>
    </xf>
    <xf numFmtId="0" fontId="4" fillId="0" borderId="12" xfId="0" applyFont="1" applyBorder="1" applyAlignment="1">
      <alignment vertical="top" wrapText="1"/>
    </xf>
    <xf numFmtId="0" fontId="4" fillId="0" borderId="39" xfId="0" applyFont="1" applyBorder="1" applyAlignment="1">
      <alignment vertical="top" wrapText="1"/>
    </xf>
    <xf numFmtId="0" fontId="4" fillId="2" borderId="15" xfId="2" applyFill="1" applyBorder="1" applyAlignment="1">
      <alignment horizontal="left" vertical="top" wrapText="1"/>
    </xf>
    <xf numFmtId="0" fontId="4" fillId="0" borderId="7" xfId="0" applyFont="1" applyBorder="1" applyAlignment="1">
      <alignment horizontal="right" vertical="top" wrapText="1"/>
    </xf>
    <xf numFmtId="0" fontId="4" fillId="0" borderId="1" xfId="2" applyBorder="1" applyAlignment="1">
      <alignment horizontal="left" vertical="top" wrapText="1"/>
    </xf>
    <xf numFmtId="0" fontId="4" fillId="2" borderId="20" xfId="0" applyFont="1" applyFill="1" applyBorder="1" applyAlignment="1">
      <alignment horizontal="left" vertical="top" wrapText="1"/>
    </xf>
    <xf numFmtId="0" fontId="4" fillId="0" borderId="1" xfId="0" applyFont="1" applyBorder="1" applyAlignment="1">
      <alignment horizontal="left" vertical="top" wrapText="1"/>
    </xf>
    <xf numFmtId="0" fontId="4" fillId="2" borderId="1" xfId="2" applyFill="1" applyBorder="1" applyAlignment="1">
      <alignment horizontal="left" vertical="top" wrapText="1"/>
    </xf>
    <xf numFmtId="0" fontId="4" fillId="0" borderId="12" xfId="2" applyBorder="1" applyAlignment="1">
      <alignment horizontal="left" vertical="top" wrapText="1"/>
    </xf>
    <xf numFmtId="2" fontId="4" fillId="0" borderId="0" xfId="0" applyNumberFormat="1" applyFont="1" applyAlignment="1">
      <alignment horizontal="center" vertical="top"/>
    </xf>
    <xf numFmtId="0" fontId="4" fillId="2" borderId="1" xfId="0" applyFont="1" applyFill="1" applyBorder="1" applyAlignment="1">
      <alignment horizontal="left" vertical="top" wrapText="1"/>
    </xf>
    <xf numFmtId="0" fontId="10" fillId="0" borderId="0" xfId="0" applyFont="1" applyAlignment="1" applyProtection="1">
      <alignment vertical="center"/>
      <protection hidden="1"/>
    </xf>
    <xf numFmtId="0" fontId="9" fillId="0" borderId="0" xfId="0" applyFont="1" applyAlignment="1" applyProtection="1">
      <alignment vertical="top"/>
      <protection hidden="1"/>
    </xf>
    <xf numFmtId="0" fontId="11" fillId="0" borderId="0" xfId="0" applyFont="1" applyAlignment="1" applyProtection="1">
      <alignment horizontal="left" vertical="top" wrapText="1"/>
      <protection hidden="1"/>
    </xf>
    <xf numFmtId="0" fontId="4" fillId="0" borderId="0" xfId="0" applyFont="1" applyAlignment="1" applyProtection="1">
      <alignment vertical="top"/>
      <protection hidden="1"/>
    </xf>
    <xf numFmtId="0" fontId="13" fillId="5" borderId="15" xfId="0" applyFont="1" applyFill="1" applyBorder="1" applyAlignment="1" applyProtection="1">
      <alignment horizontal="left" vertical="center" wrapText="1" indent="1"/>
      <protection hidden="1"/>
    </xf>
    <xf numFmtId="0" fontId="13" fillId="5" borderId="13" xfId="0" applyFont="1" applyFill="1" applyBorder="1" applyAlignment="1" applyProtection="1">
      <alignment horizontal="left" vertical="center" wrapText="1" indent="1"/>
      <protection hidden="1"/>
    </xf>
    <xf numFmtId="0" fontId="13" fillId="5" borderId="28" xfId="0" applyFont="1" applyFill="1" applyBorder="1" applyAlignment="1" applyProtection="1">
      <alignment horizontal="left" vertical="center" wrapText="1" indent="1"/>
      <protection hidden="1"/>
    </xf>
    <xf numFmtId="0" fontId="13" fillId="5" borderId="16" xfId="0" applyFont="1" applyFill="1" applyBorder="1" applyAlignment="1" applyProtection="1">
      <alignment horizontal="left" vertical="center" wrapText="1" indent="1"/>
      <protection hidden="1"/>
    </xf>
    <xf numFmtId="0" fontId="10" fillId="0" borderId="0" xfId="0" applyFont="1" applyAlignment="1" applyProtection="1">
      <alignment vertical="top"/>
      <protection hidden="1"/>
    </xf>
    <xf numFmtId="0" fontId="4" fillId="0" borderId="40" xfId="0" applyFont="1" applyBorder="1" applyAlignment="1" applyProtection="1">
      <alignment horizontal="left" vertical="center" wrapText="1" indent="1"/>
      <protection hidden="1"/>
    </xf>
    <xf numFmtId="0" fontId="4" fillId="0" borderId="0" xfId="0" applyFont="1" applyAlignment="1" applyProtection="1">
      <alignment vertical="center"/>
      <protection hidden="1"/>
    </xf>
    <xf numFmtId="0" fontId="4" fillId="0" borderId="43" xfId="0" applyFont="1" applyBorder="1" applyAlignment="1" applyProtection="1">
      <alignment horizontal="left" vertical="center" wrapText="1" indent="1"/>
      <protection hidden="1"/>
    </xf>
    <xf numFmtId="0" fontId="4" fillId="0" borderId="1" xfId="0" applyFont="1" applyBorder="1" applyAlignment="1" applyProtection="1">
      <alignment horizontal="left" vertical="center" wrapText="1" indent="1"/>
      <protection hidden="1"/>
    </xf>
    <xf numFmtId="44" fontId="4" fillId="0" borderId="1" xfId="1" applyFont="1" applyFill="1" applyBorder="1" applyAlignment="1" applyProtection="1">
      <alignment horizontal="left" vertical="center" indent="1"/>
      <protection hidden="1"/>
    </xf>
    <xf numFmtId="49" fontId="4" fillId="0" borderId="1" xfId="1" applyNumberFormat="1" applyFont="1" applyFill="1" applyBorder="1" applyAlignment="1" applyProtection="1">
      <alignment horizontal="left" vertical="center" wrapText="1" indent="1"/>
      <protection hidden="1"/>
    </xf>
    <xf numFmtId="0" fontId="4" fillId="7" borderId="49" xfId="0" applyFont="1" applyFill="1" applyBorder="1" applyAlignment="1" applyProtection="1">
      <alignment horizontal="left" vertical="center" wrapText="1" indent="1"/>
      <protection hidden="1"/>
    </xf>
    <xf numFmtId="0" fontId="4" fillId="0" borderId="83" xfId="0" applyFont="1" applyBorder="1" applyAlignment="1" applyProtection="1">
      <alignment horizontal="left" vertical="center" wrapText="1" indent="1"/>
      <protection hidden="1"/>
    </xf>
    <xf numFmtId="0" fontId="4" fillId="6" borderId="49" xfId="0" applyFont="1" applyFill="1" applyBorder="1" applyAlignment="1" applyProtection="1">
      <alignment horizontal="left" vertical="center" wrapText="1" indent="1"/>
      <protection hidden="1"/>
    </xf>
    <xf numFmtId="0" fontId="4" fillId="0" borderId="94" xfId="0" applyFont="1" applyBorder="1" applyAlignment="1" applyProtection="1">
      <alignment horizontal="left" vertical="center" wrapText="1" indent="1"/>
      <protection hidden="1"/>
    </xf>
    <xf numFmtId="0" fontId="4" fillId="8" borderId="49" xfId="0" applyFont="1" applyFill="1" applyBorder="1" applyAlignment="1" applyProtection="1">
      <alignment horizontal="left" vertical="center" wrapText="1" indent="1"/>
      <protection hidden="1"/>
    </xf>
    <xf numFmtId="0" fontId="4" fillId="9" borderId="49" xfId="0" applyFont="1" applyFill="1" applyBorder="1" applyAlignment="1" applyProtection="1">
      <alignment horizontal="left" vertical="center" wrapText="1" indent="1"/>
      <protection hidden="1"/>
    </xf>
    <xf numFmtId="0" fontId="22" fillId="10" borderId="49" xfId="0" applyFont="1" applyFill="1" applyBorder="1" applyAlignment="1" applyProtection="1">
      <alignment horizontal="left" vertical="center" wrapText="1" indent="1"/>
      <protection hidden="1"/>
    </xf>
    <xf numFmtId="0" fontId="4" fillId="11" borderId="49" xfId="0" applyFont="1" applyFill="1" applyBorder="1" applyAlignment="1" applyProtection="1">
      <alignment horizontal="left" vertical="center" wrapText="1" indent="1"/>
      <protection hidden="1"/>
    </xf>
    <xf numFmtId="0" fontId="4" fillId="12" borderId="49" xfId="0" applyFont="1" applyFill="1" applyBorder="1" applyAlignment="1" applyProtection="1">
      <alignment horizontal="left" vertical="center" wrapText="1" indent="1"/>
      <protection hidden="1"/>
    </xf>
    <xf numFmtId="49" fontId="5" fillId="0" borderId="0" xfId="0" applyNumberFormat="1" applyFont="1" applyAlignment="1" applyProtection="1">
      <alignment horizontal="left" vertical="top"/>
      <protection hidden="1"/>
    </xf>
    <xf numFmtId="0" fontId="4" fillId="0" borderId="0" xfId="0" applyFont="1" applyProtection="1">
      <protection hidden="1"/>
    </xf>
    <xf numFmtId="0" fontId="5" fillId="0" borderId="0" xfId="0" applyFont="1" applyAlignment="1" applyProtection="1">
      <alignment vertical="top"/>
      <protection hidden="1"/>
    </xf>
    <xf numFmtId="49" fontId="5" fillId="0" borderId="0" xfId="0" applyNumberFormat="1" applyFont="1" applyAlignment="1" applyProtection="1">
      <alignment vertical="top"/>
      <protection hidden="1"/>
    </xf>
    <xf numFmtId="164" fontId="5" fillId="2" borderId="0" xfId="0" applyNumberFormat="1" applyFont="1" applyFill="1" applyAlignment="1" applyProtection="1">
      <alignment vertical="center" wrapText="1"/>
      <protection hidden="1"/>
    </xf>
    <xf numFmtId="2" fontId="4" fillId="2" borderId="0" xfId="0" applyNumberFormat="1" applyFont="1" applyFill="1" applyAlignment="1" applyProtection="1">
      <alignment vertical="center" wrapText="1"/>
      <protection hidden="1"/>
    </xf>
    <xf numFmtId="164" fontId="7" fillId="3" borderId="5" xfId="0" applyNumberFormat="1" applyFont="1" applyFill="1" applyBorder="1" applyAlignment="1" applyProtection="1">
      <alignment horizontal="left" vertical="center"/>
      <protection hidden="1"/>
    </xf>
    <xf numFmtId="164" fontId="7" fillId="3" borderId="6" xfId="0" applyNumberFormat="1" applyFont="1" applyFill="1" applyBorder="1" applyAlignment="1" applyProtection="1">
      <alignment horizontal="left" vertical="center"/>
      <protection hidden="1"/>
    </xf>
    <xf numFmtId="164" fontId="7" fillId="3" borderId="7" xfId="0" applyNumberFormat="1" applyFont="1" applyFill="1" applyBorder="1" applyAlignment="1" applyProtection="1">
      <alignment horizontal="left" vertical="center"/>
      <protection hidden="1"/>
    </xf>
    <xf numFmtId="164" fontId="7" fillId="0" borderId="0" xfId="0" applyNumberFormat="1" applyFont="1" applyAlignment="1" applyProtection="1">
      <alignment horizontal="left" vertical="center"/>
      <protection hidden="1"/>
    </xf>
    <xf numFmtId="164" fontId="7" fillId="3" borderId="34" xfId="0" applyNumberFormat="1" applyFont="1" applyFill="1" applyBorder="1" applyAlignment="1" applyProtection="1">
      <alignment horizontal="center" vertical="top"/>
      <protection hidden="1"/>
    </xf>
    <xf numFmtId="0" fontId="9" fillId="0" borderId="0" xfId="0" applyFont="1" applyProtection="1">
      <protection hidden="1"/>
    </xf>
    <xf numFmtId="0" fontId="5" fillId="3" borderId="104" xfId="0" applyFont="1" applyFill="1" applyBorder="1" applyAlignment="1" applyProtection="1">
      <alignment horizontal="left" vertical="center" wrapText="1"/>
      <protection hidden="1"/>
    </xf>
    <xf numFmtId="0" fontId="5" fillId="3" borderId="31" xfId="0" applyFont="1" applyFill="1" applyBorder="1" applyAlignment="1" applyProtection="1">
      <alignment vertical="center" wrapText="1"/>
      <protection hidden="1"/>
    </xf>
    <xf numFmtId="0" fontId="5" fillId="3" borderId="32" xfId="0" applyFont="1" applyFill="1" applyBorder="1" applyAlignment="1" applyProtection="1">
      <alignment vertical="center" wrapText="1"/>
      <protection hidden="1"/>
    </xf>
    <xf numFmtId="0" fontId="5" fillId="3" borderId="35" xfId="0" applyFont="1" applyFill="1" applyBorder="1" applyAlignment="1" applyProtection="1">
      <alignment vertical="center" wrapText="1"/>
      <protection hidden="1"/>
    </xf>
    <xf numFmtId="0" fontId="5" fillId="0" borderId="0" xfId="0" applyFont="1" applyAlignment="1" applyProtection="1">
      <alignment vertical="center" wrapText="1"/>
      <protection hidden="1"/>
    </xf>
    <xf numFmtId="164" fontId="7" fillId="3" borderId="86" xfId="0" applyNumberFormat="1" applyFont="1" applyFill="1" applyBorder="1" applyAlignment="1" applyProtection="1">
      <alignment horizontal="center" vertical="center" wrapText="1"/>
      <protection hidden="1"/>
    </xf>
    <xf numFmtId="0" fontId="5" fillId="0" borderId="96" xfId="0" applyFont="1" applyBorder="1" applyAlignment="1" applyProtection="1">
      <alignment horizontal="left" vertical="top" wrapText="1"/>
      <protection hidden="1"/>
    </xf>
    <xf numFmtId="0" fontId="4" fillId="0" borderId="23" xfId="0" applyFont="1" applyBorder="1" applyAlignment="1" applyProtection="1">
      <alignment vertical="top" wrapText="1"/>
      <protection hidden="1"/>
    </xf>
    <xf numFmtId="0" fontId="4" fillId="0" borderId="24" xfId="0" applyFont="1" applyBorder="1" applyAlignment="1" applyProtection="1">
      <alignment vertical="top" wrapText="1"/>
      <protection hidden="1"/>
    </xf>
    <xf numFmtId="0" fontId="4" fillId="0" borderId="36" xfId="0" applyFont="1" applyBorder="1" applyAlignment="1" applyProtection="1">
      <alignment vertical="top" wrapText="1"/>
      <protection hidden="1"/>
    </xf>
    <xf numFmtId="0" fontId="4" fillId="0" borderId="0" xfId="0" applyFont="1" applyAlignment="1" applyProtection="1">
      <alignment vertical="top" wrapText="1"/>
      <protection hidden="1"/>
    </xf>
    <xf numFmtId="0" fontId="4" fillId="15" borderId="113" xfId="5" applyFont="1" applyFill="1" applyBorder="1" applyAlignment="1" applyProtection="1">
      <alignment horizontal="left" vertical="top" wrapText="1"/>
      <protection hidden="1"/>
    </xf>
    <xf numFmtId="0" fontId="4" fillId="4" borderId="70" xfId="0" applyFont="1" applyFill="1" applyBorder="1" applyAlignment="1" applyProtection="1">
      <alignment horizontal="left" vertical="top" wrapText="1"/>
      <protection hidden="1"/>
    </xf>
    <xf numFmtId="0" fontId="5" fillId="0" borderId="11" xfId="0" applyFont="1" applyBorder="1" applyAlignment="1" applyProtection="1">
      <alignment horizontal="left" vertical="top" wrapText="1"/>
      <protection hidden="1"/>
    </xf>
    <xf numFmtId="0" fontId="4" fillId="0" borderId="27" xfId="0" applyFont="1" applyBorder="1" applyAlignment="1" applyProtection="1">
      <alignment vertical="top" wrapText="1"/>
      <protection hidden="1"/>
    </xf>
    <xf numFmtId="0" fontId="4" fillId="0" borderId="30" xfId="0" applyFont="1" applyBorder="1" applyAlignment="1" applyProtection="1">
      <alignment vertical="top" wrapText="1"/>
      <protection hidden="1"/>
    </xf>
    <xf numFmtId="0" fontId="4" fillId="0" borderId="46" xfId="0" applyFont="1" applyBorder="1" applyAlignment="1" applyProtection="1">
      <alignment vertical="top" wrapText="1"/>
      <protection hidden="1"/>
    </xf>
    <xf numFmtId="0" fontId="4" fillId="4" borderId="71" xfId="0" applyFont="1" applyFill="1" applyBorder="1" applyAlignment="1" applyProtection="1">
      <alignment horizontal="left" vertical="top" wrapText="1"/>
      <protection hidden="1"/>
    </xf>
    <xf numFmtId="0" fontId="5" fillId="0" borderId="1" xfId="0" applyFont="1" applyBorder="1" applyAlignment="1" applyProtection="1">
      <alignment horizontal="left" vertical="top" wrapText="1"/>
      <protection hidden="1"/>
    </xf>
    <xf numFmtId="0" fontId="4" fillId="0" borderId="2" xfId="0" applyFont="1" applyBorder="1" applyAlignment="1" applyProtection="1">
      <alignment vertical="top" wrapText="1"/>
      <protection hidden="1"/>
    </xf>
    <xf numFmtId="0" fontId="4" fillId="0" borderId="20" xfId="0" applyFont="1" applyBorder="1" applyAlignment="1" applyProtection="1">
      <alignment vertical="top" wrapText="1"/>
      <protection hidden="1"/>
    </xf>
    <xf numFmtId="0" fontId="4" fillId="0" borderId="37" xfId="0" applyFont="1" applyBorder="1" applyAlignment="1" applyProtection="1">
      <alignment vertical="top" wrapText="1"/>
      <protection hidden="1"/>
    </xf>
    <xf numFmtId="0" fontId="4" fillId="4" borderId="68" xfId="0" applyFont="1" applyFill="1" applyBorder="1" applyAlignment="1" applyProtection="1">
      <alignment horizontal="left" vertical="top" wrapText="1"/>
      <protection hidden="1"/>
    </xf>
    <xf numFmtId="0" fontId="5" fillId="0" borderId="98" xfId="0" applyFont="1" applyBorder="1" applyAlignment="1" applyProtection="1">
      <alignment horizontal="left" vertical="top" wrapText="1"/>
      <protection hidden="1"/>
    </xf>
    <xf numFmtId="0" fontId="4" fillId="4" borderId="72" xfId="0" applyFont="1" applyFill="1" applyBorder="1" applyAlignment="1" applyProtection="1">
      <alignment horizontal="left" vertical="top" wrapText="1"/>
      <protection hidden="1"/>
    </xf>
    <xf numFmtId="0" fontId="4" fillId="0" borderId="4" xfId="0" applyFont="1" applyBorder="1" applyAlignment="1" applyProtection="1">
      <alignment vertical="top" wrapText="1"/>
      <protection hidden="1"/>
    </xf>
    <xf numFmtId="0" fontId="4" fillId="0" borderId="91" xfId="0" applyFont="1" applyBorder="1" applyAlignment="1" applyProtection="1">
      <alignment vertical="top" wrapText="1"/>
      <protection hidden="1"/>
    </xf>
    <xf numFmtId="0" fontId="4" fillId="0" borderId="39" xfId="0" applyFont="1" applyBorder="1" applyAlignment="1" applyProtection="1">
      <alignment vertical="top" wrapText="1"/>
      <protection hidden="1"/>
    </xf>
    <xf numFmtId="0" fontId="5" fillId="0" borderId="106" xfId="0" applyFont="1" applyBorder="1" applyAlignment="1" applyProtection="1">
      <alignment horizontal="left" vertical="top" wrapText="1"/>
      <protection hidden="1"/>
    </xf>
    <xf numFmtId="0" fontId="4" fillId="4" borderId="73" xfId="0" applyFont="1" applyFill="1" applyBorder="1" applyAlignment="1" applyProtection="1">
      <alignment horizontal="left" vertical="top" wrapText="1"/>
      <protection hidden="1"/>
    </xf>
    <xf numFmtId="164" fontId="4" fillId="4" borderId="68" xfId="0" applyNumberFormat="1" applyFont="1" applyFill="1" applyBorder="1" applyAlignment="1" applyProtection="1">
      <alignment horizontal="left" vertical="top" wrapText="1"/>
      <protection hidden="1"/>
    </xf>
    <xf numFmtId="0" fontId="4" fillId="4" borderId="8" xfId="0" applyFont="1" applyFill="1" applyBorder="1" applyAlignment="1" applyProtection="1">
      <alignment horizontal="left" vertical="top" wrapText="1"/>
      <protection hidden="1"/>
    </xf>
    <xf numFmtId="0" fontId="4" fillId="0" borderId="0" xfId="0" applyFont="1" applyAlignment="1" applyProtection="1">
      <alignment wrapText="1"/>
      <protection hidden="1"/>
    </xf>
    <xf numFmtId="0" fontId="4" fillId="0" borderId="0" xfId="0" applyFont="1" applyAlignment="1" applyProtection="1">
      <alignment horizontal="right" wrapText="1"/>
      <protection hidden="1"/>
    </xf>
    <xf numFmtId="164" fontId="7" fillId="3" borderId="5" xfId="0" applyNumberFormat="1" applyFont="1" applyFill="1" applyBorder="1" applyAlignment="1" applyProtection="1">
      <alignment vertical="center"/>
      <protection hidden="1"/>
    </xf>
    <xf numFmtId="164" fontId="7" fillId="3" borderId="6" xfId="0" applyNumberFormat="1" applyFont="1" applyFill="1" applyBorder="1" applyAlignment="1" applyProtection="1">
      <alignment vertical="center"/>
      <protection hidden="1"/>
    </xf>
    <xf numFmtId="164" fontId="7" fillId="3" borderId="7" xfId="0" applyNumberFormat="1" applyFont="1" applyFill="1" applyBorder="1" applyAlignment="1" applyProtection="1">
      <alignment vertical="center"/>
      <protection hidden="1"/>
    </xf>
    <xf numFmtId="164" fontId="7" fillId="0" borderId="0" xfId="0" applyNumberFormat="1" applyFont="1" applyAlignment="1" applyProtection="1">
      <alignment vertical="center"/>
      <protection hidden="1"/>
    </xf>
    <xf numFmtId="0" fontId="9" fillId="0" borderId="0" xfId="0" applyFont="1" applyAlignment="1" applyProtection="1">
      <alignment wrapText="1"/>
      <protection hidden="1"/>
    </xf>
    <xf numFmtId="0" fontId="5" fillId="0" borderId="13" xfId="0" applyFont="1" applyBorder="1" applyAlignment="1" applyProtection="1">
      <alignment horizontal="left" vertical="top" wrapText="1"/>
      <protection hidden="1"/>
    </xf>
    <xf numFmtId="164" fontId="5" fillId="4" borderId="34" xfId="0" applyNumberFormat="1" applyFont="1" applyFill="1" applyBorder="1" applyAlignment="1" applyProtection="1">
      <alignment horizontal="right" vertical="top" wrapText="1"/>
      <protection hidden="1"/>
    </xf>
    <xf numFmtId="0" fontId="4" fillId="0" borderId="0" xfId="1" applyNumberFormat="1" applyFont="1" applyFill="1" applyBorder="1" applyAlignment="1" applyProtection="1">
      <alignment vertical="top" wrapText="1"/>
      <protection hidden="1"/>
    </xf>
    <xf numFmtId="2" fontId="5" fillId="4" borderId="57" xfId="0" applyNumberFormat="1" applyFont="1" applyFill="1" applyBorder="1" applyAlignment="1" applyProtection="1">
      <alignment horizontal="right" vertical="top" wrapText="1"/>
      <protection hidden="1"/>
    </xf>
    <xf numFmtId="0" fontId="5" fillId="0" borderId="10" xfId="0" applyFont="1" applyBorder="1" applyAlignment="1" applyProtection="1">
      <alignment horizontal="left" vertical="top" wrapText="1"/>
      <protection hidden="1"/>
    </xf>
    <xf numFmtId="0" fontId="4" fillId="0" borderId="0" xfId="1" applyNumberFormat="1" applyFont="1" applyFill="1" applyBorder="1" applyAlignment="1" applyProtection="1">
      <alignment horizontal="left" vertical="top" wrapText="1"/>
      <protection hidden="1"/>
    </xf>
    <xf numFmtId="164" fontId="5" fillId="0" borderId="0" xfId="1" applyNumberFormat="1" applyFont="1" applyFill="1" applyBorder="1" applyAlignment="1" applyProtection="1">
      <alignment horizontal="right" vertical="top"/>
      <protection hidden="1"/>
    </xf>
    <xf numFmtId="164" fontId="7" fillId="0" borderId="0" xfId="0" applyNumberFormat="1" applyFont="1" applyAlignment="1" applyProtection="1">
      <alignment vertical="center" wrapText="1"/>
      <protection hidden="1"/>
    </xf>
    <xf numFmtId="0" fontId="5" fillId="3" borderId="15" xfId="0" applyFont="1" applyFill="1" applyBorder="1" applyAlignment="1" applyProtection="1">
      <alignment horizontal="left" vertical="center" wrapText="1"/>
      <protection hidden="1"/>
    </xf>
    <xf numFmtId="0" fontId="5" fillId="3" borderId="13" xfId="0" applyFont="1" applyFill="1" applyBorder="1" applyAlignment="1" applyProtection="1">
      <alignment horizontal="left" vertical="center" wrapText="1"/>
      <protection hidden="1"/>
    </xf>
    <xf numFmtId="0" fontId="4" fillId="0" borderId="0" xfId="0" applyFont="1" applyAlignment="1" applyProtection="1">
      <alignment horizontal="left" vertical="center"/>
      <protection hidden="1"/>
    </xf>
    <xf numFmtId="0" fontId="4" fillId="0" borderId="63" xfId="2" applyBorder="1" applyAlignment="1" applyProtection="1">
      <alignment horizontal="left" vertical="top" wrapText="1"/>
      <protection hidden="1"/>
    </xf>
    <xf numFmtId="0" fontId="4" fillId="0" borderId="14" xfId="2" applyBorder="1" applyAlignment="1" applyProtection="1">
      <alignment horizontal="left" vertical="top" wrapText="1"/>
      <protection hidden="1"/>
    </xf>
    <xf numFmtId="0" fontId="4" fillId="0" borderId="0" xfId="0" applyFont="1" applyAlignment="1" applyProtection="1">
      <alignment horizontal="left" vertical="top" wrapText="1"/>
      <protection hidden="1"/>
    </xf>
    <xf numFmtId="0" fontId="4" fillId="0" borderId="64" xfId="2" applyBorder="1" applyAlignment="1" applyProtection="1">
      <alignment vertical="top" wrapText="1"/>
      <protection hidden="1"/>
    </xf>
    <xf numFmtId="0" fontId="4" fillId="0" borderId="17" xfId="2" applyBorder="1" applyAlignment="1" applyProtection="1">
      <alignment vertical="top" wrapText="1"/>
      <protection hidden="1"/>
    </xf>
    <xf numFmtId="0" fontId="4" fillId="4" borderId="67" xfId="0" applyFont="1" applyFill="1" applyBorder="1" applyAlignment="1" applyProtection="1">
      <alignment horizontal="left" vertical="top" wrapText="1"/>
      <protection hidden="1"/>
    </xf>
    <xf numFmtId="0" fontId="4" fillId="0" borderId="63" xfId="2" applyBorder="1" applyAlignment="1" applyProtection="1">
      <alignment vertical="top" wrapText="1"/>
      <protection hidden="1"/>
    </xf>
    <xf numFmtId="0" fontId="4" fillId="0" borderId="14" xfId="2" applyBorder="1" applyAlignment="1" applyProtection="1">
      <alignment vertical="top" wrapText="1"/>
      <protection hidden="1"/>
    </xf>
    <xf numFmtId="0" fontId="4" fillId="0" borderId="15" xfId="2" applyBorder="1" applyAlignment="1" applyProtection="1">
      <alignment horizontal="left" vertical="top" wrapText="1"/>
      <protection hidden="1"/>
    </xf>
    <xf numFmtId="0" fontId="4" fillId="0" borderId="13" xfId="2" applyBorder="1" applyAlignment="1" applyProtection="1">
      <alignment horizontal="left" vertical="top" wrapText="1"/>
      <protection hidden="1"/>
    </xf>
    <xf numFmtId="0" fontId="4" fillId="0" borderId="0" xfId="0" quotePrefix="1" applyFont="1" applyAlignment="1" applyProtection="1">
      <alignment vertical="top" wrapText="1"/>
      <protection hidden="1"/>
    </xf>
    <xf numFmtId="0" fontId="4" fillId="4" borderId="34" xfId="0" applyFont="1" applyFill="1" applyBorder="1" applyAlignment="1" applyProtection="1">
      <alignment horizontal="left" vertical="top" wrapText="1"/>
      <protection hidden="1"/>
    </xf>
    <xf numFmtId="0" fontId="4" fillId="0" borderId="42" xfId="2" applyBorder="1" applyAlignment="1" applyProtection="1">
      <alignment vertical="top" wrapText="1"/>
      <protection hidden="1"/>
    </xf>
    <xf numFmtId="0" fontId="4" fillId="0" borderId="11" xfId="2" applyBorder="1" applyAlignment="1" applyProtection="1">
      <alignment vertical="top" wrapText="1"/>
      <protection hidden="1"/>
    </xf>
    <xf numFmtId="0" fontId="4" fillId="0" borderId="28" xfId="0" quotePrefix="1" applyFont="1" applyBorder="1" applyAlignment="1" applyProtection="1">
      <alignment horizontal="right" vertical="top" wrapText="1"/>
      <protection hidden="1"/>
    </xf>
    <xf numFmtId="0" fontId="4" fillId="0" borderId="7" xfId="0" quotePrefix="1" applyFont="1" applyBorder="1" applyAlignment="1" applyProtection="1">
      <alignment horizontal="right" vertical="top" wrapText="1"/>
      <protection hidden="1"/>
    </xf>
    <xf numFmtId="0" fontId="4" fillId="15" borderId="113" xfId="5" applyFont="1" applyFill="1" applyBorder="1" applyAlignment="1" applyProtection="1">
      <alignment horizontal="left" vertical="center" wrapText="1"/>
      <protection hidden="1"/>
    </xf>
    <xf numFmtId="0" fontId="4" fillId="0" borderId="15" xfId="2" applyBorder="1" applyAlignment="1" applyProtection="1">
      <alignment vertical="top" wrapText="1"/>
      <protection hidden="1"/>
    </xf>
    <xf numFmtId="0" fontId="4" fillId="0" borderId="13" xfId="2" applyBorder="1" applyAlignment="1" applyProtection="1">
      <alignment vertical="top" wrapText="1"/>
      <protection hidden="1"/>
    </xf>
    <xf numFmtId="1" fontId="31" fillId="15" borderId="113" xfId="5" applyNumberFormat="1" applyFont="1" applyFill="1" applyBorder="1" applyAlignment="1" applyProtection="1">
      <alignment horizontal="left" vertical="top" shrinkToFit="1"/>
      <protection hidden="1"/>
    </xf>
    <xf numFmtId="0" fontId="4" fillId="0" borderId="64" xfId="2" applyBorder="1" applyAlignment="1" applyProtection="1">
      <alignment horizontal="left" vertical="top" wrapText="1"/>
      <protection hidden="1"/>
    </xf>
    <xf numFmtId="0" fontId="4" fillId="0" borderId="17" xfId="2" applyBorder="1" applyAlignment="1" applyProtection="1">
      <alignment horizontal="left" vertical="top" wrapText="1"/>
      <protection hidden="1"/>
    </xf>
    <xf numFmtId="0" fontId="4" fillId="4" borderId="74" xfId="0" applyFont="1" applyFill="1" applyBorder="1" applyAlignment="1" applyProtection="1">
      <alignment horizontal="left" vertical="top" wrapText="1"/>
      <protection hidden="1"/>
    </xf>
    <xf numFmtId="0" fontId="4" fillId="0" borderId="0" xfId="0" applyFont="1" applyAlignment="1" applyProtection="1">
      <alignment horizontal="right"/>
      <protection hidden="1"/>
    </xf>
    <xf numFmtId="0" fontId="12" fillId="0" borderId="0" xfId="0" applyFont="1" applyProtection="1">
      <protection hidden="1"/>
    </xf>
    <xf numFmtId="0" fontId="5" fillId="3" borderId="54" xfId="0" applyFont="1" applyFill="1" applyBorder="1" applyAlignment="1" applyProtection="1">
      <alignment horizontal="left" vertical="center" wrapText="1"/>
      <protection hidden="1"/>
    </xf>
    <xf numFmtId="0" fontId="5" fillId="3" borderId="3" xfId="0" applyFont="1" applyFill="1" applyBorder="1" applyAlignment="1" applyProtection="1">
      <alignment horizontal="left" vertical="center" wrapText="1"/>
      <protection hidden="1"/>
    </xf>
    <xf numFmtId="0" fontId="7" fillId="3" borderId="43" xfId="0" applyFont="1" applyFill="1" applyBorder="1" applyAlignment="1" applyProtection="1">
      <alignment horizontal="left" vertical="center" wrapText="1"/>
      <protection hidden="1"/>
    </xf>
    <xf numFmtId="0" fontId="7" fillId="3" borderId="49" xfId="0" applyFont="1" applyFill="1" applyBorder="1" applyAlignment="1" applyProtection="1">
      <alignment horizontal="left" vertical="center" wrapText="1"/>
      <protection hidden="1"/>
    </xf>
    <xf numFmtId="0" fontId="4" fillId="2" borderId="63" xfId="2" applyFill="1" applyBorder="1" applyAlignment="1" applyProtection="1">
      <alignment horizontal="left" vertical="top" wrapText="1"/>
      <protection hidden="1"/>
    </xf>
    <xf numFmtId="0" fontId="4" fillId="2" borderId="14" xfId="2" applyFill="1" applyBorder="1" applyAlignment="1" applyProtection="1">
      <alignment horizontal="left" vertical="top" wrapText="1"/>
      <protection hidden="1"/>
    </xf>
    <xf numFmtId="0" fontId="4" fillId="4" borderId="63" xfId="0" applyFont="1" applyFill="1" applyBorder="1" applyAlignment="1" applyProtection="1">
      <alignment horizontal="left" vertical="top" wrapText="1"/>
      <protection hidden="1"/>
    </xf>
    <xf numFmtId="164" fontId="4" fillId="4" borderId="65" xfId="0" applyNumberFormat="1" applyFont="1" applyFill="1" applyBorder="1" applyAlignment="1" applyProtection="1">
      <alignment horizontal="right" vertical="top" wrapText="1"/>
      <protection hidden="1"/>
    </xf>
    <xf numFmtId="0" fontId="4" fillId="4" borderId="15" xfId="0" applyFont="1" applyFill="1" applyBorder="1" applyAlignment="1" applyProtection="1">
      <alignment horizontal="left" vertical="top" wrapText="1"/>
      <protection hidden="1"/>
    </xf>
    <xf numFmtId="164" fontId="4" fillId="4" borderId="16" xfId="0" applyNumberFormat="1" applyFont="1" applyFill="1" applyBorder="1" applyAlignment="1" applyProtection="1">
      <alignment horizontal="right" vertical="top" wrapText="1"/>
      <protection hidden="1"/>
    </xf>
    <xf numFmtId="0" fontId="4" fillId="4" borderId="62" xfId="0" applyFont="1" applyFill="1" applyBorder="1" applyAlignment="1" applyProtection="1">
      <alignment horizontal="left" vertical="top" wrapText="1"/>
      <protection hidden="1"/>
    </xf>
    <xf numFmtId="164" fontId="4" fillId="4" borderId="66" xfId="0" applyNumberFormat="1" applyFont="1" applyFill="1" applyBorder="1" applyAlignment="1" applyProtection="1">
      <alignment vertical="top" wrapText="1"/>
      <protection hidden="1"/>
    </xf>
    <xf numFmtId="0" fontId="4" fillId="4" borderId="43" xfId="0" applyFont="1" applyFill="1" applyBorder="1" applyAlignment="1" applyProtection="1">
      <alignment horizontal="left" vertical="top" wrapText="1"/>
      <protection hidden="1"/>
    </xf>
    <xf numFmtId="164" fontId="4" fillId="4" borderId="48" xfId="0" applyNumberFormat="1" applyFont="1" applyFill="1" applyBorder="1" applyAlignment="1" applyProtection="1">
      <alignment vertical="top" wrapText="1"/>
      <protection hidden="1"/>
    </xf>
    <xf numFmtId="164" fontId="4" fillId="4" borderId="65" xfId="0" applyNumberFormat="1" applyFont="1" applyFill="1" applyBorder="1" applyAlignment="1" applyProtection="1">
      <alignment vertical="top" wrapText="1"/>
      <protection hidden="1"/>
    </xf>
    <xf numFmtId="0" fontId="4" fillId="4" borderId="54" xfId="0" applyFont="1" applyFill="1" applyBorder="1" applyAlignment="1" applyProtection="1">
      <alignment horizontal="left" vertical="top" wrapText="1"/>
      <protection hidden="1"/>
    </xf>
    <xf numFmtId="164" fontId="7" fillId="3" borderId="6" xfId="0" applyNumberFormat="1" applyFont="1" applyFill="1" applyBorder="1" applyAlignment="1" applyProtection="1">
      <alignment horizontal="left" vertical="center" wrapText="1"/>
      <protection hidden="1"/>
    </xf>
    <xf numFmtId="164" fontId="7" fillId="3" borderId="7" xfId="0" applyNumberFormat="1" applyFont="1" applyFill="1" applyBorder="1" applyAlignment="1" applyProtection="1">
      <alignment horizontal="left" vertical="center" wrapText="1"/>
      <protection hidden="1"/>
    </xf>
    <xf numFmtId="164" fontId="7" fillId="0" borderId="0" xfId="0" applyNumberFormat="1" applyFont="1" applyAlignment="1" applyProtection="1">
      <alignment horizontal="left" vertical="center" wrapText="1"/>
      <protection hidden="1"/>
    </xf>
    <xf numFmtId="0" fontId="5" fillId="3" borderId="5" xfId="0" applyFont="1" applyFill="1" applyBorder="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4" fillId="2" borderId="4" xfId="0" applyFont="1" applyFill="1" applyBorder="1" applyAlignment="1" applyProtection="1">
      <alignment horizontal="left" vertical="top" wrapText="1"/>
      <protection hidden="1"/>
    </xf>
    <xf numFmtId="0" fontId="4" fillId="0" borderId="28" xfId="2" applyBorder="1" applyAlignment="1" applyProtection="1">
      <alignment horizontal="left" vertical="top" wrapText="1"/>
      <protection hidden="1"/>
    </xf>
    <xf numFmtId="0" fontId="4" fillId="0" borderId="0" xfId="0" applyFont="1" applyAlignment="1" applyProtection="1">
      <alignment horizontal="right" vertical="top" wrapText="1"/>
      <protection hidden="1"/>
    </xf>
    <xf numFmtId="2" fontId="4" fillId="0" borderId="0" xfId="0" applyNumberFormat="1" applyFont="1" applyAlignment="1">
      <alignment vertical="center" wrapText="1"/>
    </xf>
    <xf numFmtId="0" fontId="0" fillId="0" borderId="0" xfId="0" applyProtection="1">
      <protection hidden="1"/>
    </xf>
    <xf numFmtId="2" fontId="4" fillId="0" borderId="0" xfId="0" applyNumberFormat="1" applyFont="1" applyAlignment="1" applyProtection="1">
      <alignment vertical="center" wrapText="1"/>
      <protection hidden="1"/>
    </xf>
    <xf numFmtId="164" fontId="7" fillId="3" borderId="34" xfId="0" applyNumberFormat="1" applyFont="1" applyFill="1" applyBorder="1" applyAlignment="1" applyProtection="1">
      <alignment horizontal="center" vertical="center" wrapText="1"/>
      <protection hidden="1"/>
    </xf>
    <xf numFmtId="164" fontId="5" fillId="3" borderId="34" xfId="0" applyNumberFormat="1" applyFont="1" applyFill="1" applyBorder="1" applyAlignment="1" applyProtection="1">
      <alignment horizontal="center" vertical="center" wrapText="1"/>
      <protection hidden="1"/>
    </xf>
    <xf numFmtId="164" fontId="5" fillId="4" borderId="69" xfId="0" applyNumberFormat="1" applyFont="1" applyFill="1" applyBorder="1" applyAlignment="1" applyProtection="1">
      <alignment horizontal="right" vertical="top" wrapText="1"/>
      <protection hidden="1"/>
    </xf>
    <xf numFmtId="164" fontId="5" fillId="4" borderId="68" xfId="0" applyNumberFormat="1" applyFont="1" applyFill="1" applyBorder="1" applyAlignment="1" applyProtection="1">
      <alignment horizontal="right" vertical="top" wrapText="1"/>
      <protection hidden="1"/>
    </xf>
    <xf numFmtId="164" fontId="5" fillId="2" borderId="0" xfId="1" applyNumberFormat="1" applyFont="1" applyFill="1" applyBorder="1" applyAlignment="1" applyProtection="1">
      <alignment horizontal="right" vertical="top"/>
      <protection hidden="1"/>
    </xf>
    <xf numFmtId="0" fontId="4" fillId="4" borderId="69" xfId="0" applyFont="1" applyFill="1" applyBorder="1" applyAlignment="1" applyProtection="1">
      <alignment horizontal="left" vertical="top" wrapText="1"/>
      <protection hidden="1"/>
    </xf>
    <xf numFmtId="164" fontId="4" fillId="4" borderId="69" xfId="0" applyNumberFormat="1" applyFont="1" applyFill="1" applyBorder="1" applyAlignment="1" applyProtection="1">
      <alignment horizontal="right" vertical="top" wrapText="1"/>
      <protection hidden="1"/>
    </xf>
    <xf numFmtId="164" fontId="4" fillId="4" borderId="68" xfId="0" applyNumberFormat="1" applyFont="1" applyFill="1" applyBorder="1" applyAlignment="1" applyProtection="1">
      <alignment horizontal="right" vertical="top" wrapText="1"/>
      <protection hidden="1"/>
    </xf>
    <xf numFmtId="164" fontId="4" fillId="4" borderId="81" xfId="0" applyNumberFormat="1" applyFont="1" applyFill="1" applyBorder="1" applyAlignment="1" applyProtection="1">
      <alignment horizontal="right" vertical="top" wrapText="1"/>
      <protection hidden="1"/>
    </xf>
    <xf numFmtId="164" fontId="4" fillId="4" borderId="57" xfId="0" applyNumberFormat="1" applyFont="1" applyFill="1" applyBorder="1" applyAlignment="1" applyProtection="1">
      <alignment horizontal="right" vertical="top" wrapText="1"/>
      <protection hidden="1"/>
    </xf>
    <xf numFmtId="0" fontId="4" fillId="4" borderId="57" xfId="0" applyFont="1" applyFill="1" applyBorder="1" applyAlignment="1" applyProtection="1">
      <alignment horizontal="left" vertical="top" wrapText="1"/>
      <protection hidden="1"/>
    </xf>
    <xf numFmtId="2" fontId="4" fillId="0" borderId="0" xfId="0" applyNumberFormat="1" applyFont="1" applyAlignment="1" applyProtection="1">
      <alignment horizontal="left" vertical="center" wrapText="1"/>
      <protection hidden="1"/>
    </xf>
    <xf numFmtId="0" fontId="5" fillId="0" borderId="0" xfId="0" applyFont="1" applyProtection="1">
      <protection hidden="1"/>
    </xf>
    <xf numFmtId="0" fontId="4" fillId="4" borderId="36" xfId="0" applyFont="1" applyFill="1" applyBorder="1" applyAlignment="1" applyProtection="1">
      <alignment horizontal="left" vertical="top" wrapText="1"/>
      <protection hidden="1"/>
    </xf>
    <xf numFmtId="0" fontId="4" fillId="4" borderId="37" xfId="0" applyFont="1" applyFill="1" applyBorder="1" applyAlignment="1" applyProtection="1">
      <alignment horizontal="left" vertical="top" wrapText="1"/>
      <protection hidden="1"/>
    </xf>
    <xf numFmtId="0" fontId="4" fillId="4" borderId="38" xfId="0" applyFont="1" applyFill="1" applyBorder="1" applyAlignment="1" applyProtection="1">
      <alignment horizontal="left" vertical="top" wrapText="1"/>
      <protection hidden="1"/>
    </xf>
    <xf numFmtId="164" fontId="4" fillId="4" borderId="37" xfId="0" applyNumberFormat="1" applyFont="1" applyFill="1" applyBorder="1" applyAlignment="1" applyProtection="1">
      <alignment horizontal="left" vertical="top" wrapText="1"/>
      <protection hidden="1"/>
    </xf>
    <xf numFmtId="0" fontId="4" fillId="4" borderId="80" xfId="0" applyFont="1" applyFill="1" applyBorder="1" applyAlignment="1" applyProtection="1">
      <alignment horizontal="left" vertical="top" wrapText="1"/>
      <protection hidden="1"/>
    </xf>
    <xf numFmtId="164" fontId="5" fillId="4" borderId="67" xfId="0" applyNumberFormat="1" applyFont="1" applyFill="1" applyBorder="1" applyAlignment="1" applyProtection="1">
      <alignment horizontal="right" vertical="top" wrapText="1"/>
      <protection hidden="1"/>
    </xf>
    <xf numFmtId="3" fontId="4" fillId="4" borderId="14" xfId="0" applyNumberFormat="1" applyFont="1" applyFill="1" applyBorder="1" applyAlignment="1" applyProtection="1">
      <alignment horizontal="left" vertical="top" wrapText="1"/>
      <protection hidden="1"/>
    </xf>
    <xf numFmtId="0" fontId="4" fillId="4" borderId="18" xfId="0" applyFont="1" applyFill="1" applyBorder="1" applyAlignment="1" applyProtection="1">
      <alignment horizontal="left" vertical="top" wrapText="1"/>
      <protection hidden="1"/>
    </xf>
    <xf numFmtId="0" fontId="4" fillId="4" borderId="14" xfId="0" applyFont="1" applyFill="1" applyBorder="1" applyAlignment="1" applyProtection="1">
      <alignment horizontal="left" vertical="top" wrapText="1"/>
      <protection hidden="1"/>
    </xf>
    <xf numFmtId="0" fontId="4" fillId="4" borderId="13" xfId="0" applyFont="1" applyFill="1" applyBorder="1" applyAlignment="1" applyProtection="1">
      <alignment horizontal="left" vertical="top" wrapText="1"/>
      <protection hidden="1"/>
    </xf>
    <xf numFmtId="0" fontId="4" fillId="4" borderId="1" xfId="0" applyFont="1" applyFill="1" applyBorder="1" applyAlignment="1" applyProtection="1">
      <alignment horizontal="left" vertical="top" wrapText="1"/>
      <protection hidden="1"/>
    </xf>
    <xf numFmtId="3" fontId="4" fillId="4" borderId="18" xfId="0" applyNumberFormat="1" applyFont="1" applyFill="1" applyBorder="1" applyAlignment="1" applyProtection="1">
      <alignment horizontal="left" vertical="top" wrapText="1"/>
      <protection hidden="1"/>
    </xf>
    <xf numFmtId="0" fontId="4" fillId="4" borderId="11" xfId="0" applyFont="1" applyFill="1" applyBorder="1" applyAlignment="1" applyProtection="1">
      <alignment horizontal="left" vertical="top" wrapText="1"/>
      <protection hidden="1"/>
    </xf>
    <xf numFmtId="3" fontId="4" fillId="4" borderId="1" xfId="0" applyNumberFormat="1" applyFont="1" applyFill="1" applyBorder="1" applyAlignment="1" applyProtection="1">
      <alignment horizontal="left" vertical="top" wrapText="1"/>
      <protection hidden="1"/>
    </xf>
    <xf numFmtId="0" fontId="4" fillId="4" borderId="3" xfId="0" applyFont="1" applyFill="1" applyBorder="1" applyAlignment="1" applyProtection="1">
      <alignment horizontal="left" vertical="top" wrapText="1"/>
      <protection hidden="1"/>
    </xf>
    <xf numFmtId="0" fontId="4" fillId="4" borderId="17" xfId="0" applyFont="1" applyFill="1" applyBorder="1" applyAlignment="1" applyProtection="1">
      <alignment horizontal="left" vertical="top" wrapText="1"/>
      <protection hidden="1"/>
    </xf>
    <xf numFmtId="0" fontId="4" fillId="4" borderId="45" xfId="0" applyFont="1" applyFill="1" applyBorder="1" applyAlignment="1" applyProtection="1">
      <alignment horizontal="left" vertical="top" wrapText="1"/>
      <protection hidden="1"/>
    </xf>
    <xf numFmtId="0" fontId="4" fillId="4" borderId="51" xfId="0" applyFont="1" applyFill="1" applyBorder="1" applyAlignment="1" applyProtection="1">
      <alignment horizontal="left" vertical="top" wrapText="1"/>
      <protection hidden="1"/>
    </xf>
    <xf numFmtId="0" fontId="4" fillId="4" borderId="41" xfId="0" applyFont="1" applyFill="1" applyBorder="1" applyAlignment="1" applyProtection="1">
      <alignment horizontal="left" vertical="top" wrapText="1"/>
      <protection hidden="1"/>
    </xf>
    <xf numFmtId="0" fontId="4" fillId="4" borderId="47" xfId="0" applyFont="1" applyFill="1" applyBorder="1" applyAlignment="1" applyProtection="1">
      <alignment horizontal="left" vertical="top" wrapText="1"/>
      <protection hidden="1"/>
    </xf>
    <xf numFmtId="0" fontId="4" fillId="4" borderId="49" xfId="0" applyFont="1" applyFill="1" applyBorder="1" applyAlignment="1" applyProtection="1">
      <alignment horizontal="left" vertical="top" wrapText="1"/>
      <protection hidden="1"/>
    </xf>
    <xf numFmtId="0" fontId="4" fillId="4" borderId="44" xfId="0" applyFont="1" applyFill="1" applyBorder="1" applyAlignment="1" applyProtection="1">
      <alignment horizontal="left" vertical="top" wrapText="1"/>
      <protection hidden="1"/>
    </xf>
    <xf numFmtId="0" fontId="4" fillId="4" borderId="50" xfId="0" applyFont="1" applyFill="1" applyBorder="1" applyAlignment="1" applyProtection="1">
      <alignment horizontal="left" vertical="top" wrapText="1"/>
      <protection hidden="1"/>
    </xf>
    <xf numFmtId="164" fontId="4" fillId="4" borderId="43" xfId="0" applyNumberFormat="1" applyFont="1" applyFill="1" applyBorder="1" applyAlignment="1" applyProtection="1">
      <alignment horizontal="left" vertical="top" wrapText="1"/>
      <protection hidden="1"/>
    </xf>
    <xf numFmtId="164" fontId="4" fillId="4" borderId="49" xfId="0" applyNumberFormat="1" applyFont="1" applyFill="1" applyBorder="1" applyAlignment="1" applyProtection="1">
      <alignment horizontal="left" vertical="top" wrapText="1"/>
      <protection hidden="1"/>
    </xf>
    <xf numFmtId="164" fontId="5" fillId="4" borderId="54" xfId="0" applyNumberFormat="1" applyFont="1" applyFill="1" applyBorder="1" applyAlignment="1" applyProtection="1">
      <alignment horizontal="right" vertical="top" wrapText="1"/>
      <protection hidden="1"/>
    </xf>
    <xf numFmtId="164" fontId="5" fillId="4" borderId="53" xfId="0" applyNumberFormat="1" applyFont="1" applyFill="1" applyBorder="1" applyAlignment="1" applyProtection="1">
      <alignment horizontal="right" vertical="top" wrapText="1"/>
      <protection hidden="1"/>
    </xf>
    <xf numFmtId="2" fontId="5" fillId="4" borderId="58" xfId="0" applyNumberFormat="1" applyFont="1" applyFill="1" applyBorder="1" applyAlignment="1" applyProtection="1">
      <alignment horizontal="right" vertical="top" wrapText="1"/>
      <protection hidden="1"/>
    </xf>
    <xf numFmtId="2" fontId="5" fillId="4" borderId="65" xfId="0" applyNumberFormat="1" applyFont="1" applyFill="1" applyBorder="1" applyAlignment="1" applyProtection="1">
      <alignment horizontal="right" vertical="top" wrapText="1"/>
      <protection hidden="1"/>
    </xf>
    <xf numFmtId="0" fontId="4" fillId="4" borderId="65" xfId="0" applyFont="1" applyFill="1" applyBorder="1" applyAlignment="1" applyProtection="1">
      <alignment horizontal="left" vertical="top" wrapText="1"/>
      <protection hidden="1"/>
    </xf>
    <xf numFmtId="0" fontId="4" fillId="4" borderId="52"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0" fontId="4" fillId="4" borderId="42" xfId="0" applyFont="1" applyFill="1" applyBorder="1" applyAlignment="1" applyProtection="1">
      <alignment horizontal="left" vertical="top" wrapText="1"/>
      <protection hidden="1"/>
    </xf>
    <xf numFmtId="0" fontId="4" fillId="4" borderId="53" xfId="0" applyFont="1" applyFill="1" applyBorder="1" applyAlignment="1" applyProtection="1">
      <alignment horizontal="left" vertical="top" wrapText="1"/>
      <protection hidden="1"/>
    </xf>
    <xf numFmtId="0" fontId="4" fillId="4" borderId="48" xfId="0" applyFont="1" applyFill="1" applyBorder="1" applyAlignment="1" applyProtection="1">
      <alignment horizontal="left" vertical="top" wrapText="1"/>
      <protection hidden="1"/>
    </xf>
    <xf numFmtId="0" fontId="4" fillId="4" borderId="64" xfId="0" applyFont="1" applyFill="1" applyBorder="1" applyAlignment="1" applyProtection="1">
      <alignment horizontal="left" vertical="top" wrapText="1"/>
      <protection hidden="1"/>
    </xf>
    <xf numFmtId="0" fontId="4" fillId="4" borderId="66" xfId="0" applyFont="1" applyFill="1" applyBorder="1" applyAlignment="1" applyProtection="1">
      <alignment horizontal="left" vertical="top" wrapText="1"/>
      <protection hidden="1"/>
    </xf>
    <xf numFmtId="0" fontId="4" fillId="4" borderId="5" xfId="0" applyFont="1" applyFill="1" applyBorder="1" applyAlignment="1" applyProtection="1">
      <alignment horizontal="left" vertical="top" wrapText="1"/>
      <protection hidden="1"/>
    </xf>
    <xf numFmtId="0" fontId="4" fillId="4" borderId="76" xfId="0" applyFont="1" applyFill="1" applyBorder="1" applyAlignment="1" applyProtection="1">
      <alignment horizontal="left" vertical="top" wrapText="1"/>
      <protection hidden="1"/>
    </xf>
    <xf numFmtId="0" fontId="4" fillId="4" borderId="56" xfId="0" applyFont="1" applyFill="1" applyBorder="1" applyAlignment="1" applyProtection="1">
      <alignment horizontal="left" vertical="top" wrapText="1"/>
      <protection hidden="1"/>
    </xf>
    <xf numFmtId="0" fontId="4" fillId="4" borderId="75" xfId="0" applyFont="1" applyFill="1" applyBorder="1" applyAlignment="1" applyProtection="1">
      <alignment horizontal="left" vertical="top" wrapText="1"/>
      <protection hidden="1"/>
    </xf>
    <xf numFmtId="0" fontId="4" fillId="4" borderId="55" xfId="0" applyFont="1" applyFill="1" applyBorder="1" applyAlignment="1" applyProtection="1">
      <alignment horizontal="left" vertical="top" wrapText="1"/>
      <protection hidden="1"/>
    </xf>
    <xf numFmtId="0" fontId="4" fillId="4" borderId="77" xfId="0" applyFont="1" applyFill="1" applyBorder="1" applyAlignment="1" applyProtection="1">
      <alignment horizontal="left" vertical="top" wrapText="1"/>
      <protection hidden="1"/>
    </xf>
    <xf numFmtId="164" fontId="5" fillId="3" borderId="74" xfId="0" applyNumberFormat="1" applyFont="1" applyFill="1" applyBorder="1" applyAlignment="1" applyProtection="1">
      <alignment horizontal="center" vertical="center" wrapText="1"/>
      <protection hidden="1"/>
    </xf>
    <xf numFmtId="0" fontId="4" fillId="4" borderId="86" xfId="0" applyFont="1" applyFill="1" applyBorder="1" applyAlignment="1" applyProtection="1">
      <alignment horizontal="center" vertical="top" wrapText="1"/>
      <protection hidden="1"/>
    </xf>
    <xf numFmtId="0" fontId="4" fillId="4" borderId="87" xfId="0" applyFont="1" applyFill="1" applyBorder="1" applyAlignment="1" applyProtection="1">
      <alignment horizontal="left" vertical="top" wrapText="1"/>
      <protection hidden="1"/>
    </xf>
    <xf numFmtId="164" fontId="7" fillId="3" borderId="34" xfId="0" applyNumberFormat="1" applyFont="1" applyFill="1" applyBorder="1" applyAlignment="1" applyProtection="1">
      <alignment horizontal="center" vertical="center"/>
      <protection hidden="1"/>
    </xf>
    <xf numFmtId="2" fontId="5" fillId="4" borderId="57" xfId="6" applyNumberFormat="1" applyFont="1" applyFill="1" applyBorder="1" applyAlignment="1" applyProtection="1">
      <alignment horizontal="right" vertical="top" wrapText="1"/>
      <protection hidden="1"/>
    </xf>
    <xf numFmtId="0" fontId="4" fillId="4" borderId="15" xfId="0" applyFont="1" applyFill="1" applyBorder="1" applyAlignment="1" applyProtection="1">
      <alignment vertical="top" wrapText="1"/>
      <protection hidden="1"/>
    </xf>
    <xf numFmtId="164" fontId="4" fillId="4" borderId="16" xfId="0" applyNumberFormat="1" applyFont="1" applyFill="1" applyBorder="1" applyAlignment="1" applyProtection="1">
      <alignment vertical="top" wrapText="1"/>
      <protection hidden="1"/>
    </xf>
    <xf numFmtId="164" fontId="4" fillId="4" borderId="53" xfId="0" applyNumberFormat="1" applyFont="1" applyFill="1" applyBorder="1" applyAlignment="1" applyProtection="1">
      <alignment horizontal="right" vertical="top" wrapText="1"/>
      <protection hidden="1"/>
    </xf>
    <xf numFmtId="164" fontId="7" fillId="3" borderId="74" xfId="0" applyNumberFormat="1" applyFont="1" applyFill="1" applyBorder="1" applyAlignment="1" applyProtection="1">
      <alignment horizontal="center" vertical="center" wrapText="1"/>
      <protection hidden="1"/>
    </xf>
    <xf numFmtId="0" fontId="7" fillId="3" borderId="15" xfId="0" applyFont="1" applyFill="1" applyBorder="1" applyAlignment="1" applyProtection="1">
      <alignment horizontal="center" vertical="center" wrapText="1"/>
      <protection hidden="1"/>
    </xf>
    <xf numFmtId="0" fontId="7" fillId="3" borderId="16" xfId="0" applyFont="1" applyFill="1" applyBorder="1" applyAlignment="1" applyProtection="1">
      <alignment horizontal="center" vertical="center" wrapText="1"/>
      <protection hidden="1"/>
    </xf>
    <xf numFmtId="164" fontId="4" fillId="4" borderId="66" xfId="0" applyNumberFormat="1" applyFont="1" applyFill="1" applyBorder="1" applyAlignment="1" applyProtection="1">
      <alignment horizontal="right" vertical="top" wrapText="1"/>
      <protection hidden="1"/>
    </xf>
    <xf numFmtId="164" fontId="4" fillId="4" borderId="48" xfId="0" applyNumberFormat="1" applyFont="1" applyFill="1" applyBorder="1" applyAlignment="1" applyProtection="1">
      <alignment horizontal="right" vertical="top" wrapText="1"/>
      <protection hidden="1"/>
    </xf>
    <xf numFmtId="0" fontId="4" fillId="4" borderId="93" xfId="0" applyFont="1" applyFill="1" applyBorder="1" applyAlignment="1" applyProtection="1">
      <alignment horizontal="left" vertical="top" wrapText="1"/>
      <protection hidden="1"/>
    </xf>
    <xf numFmtId="165" fontId="20" fillId="2" borderId="0" xfId="0" applyNumberFormat="1" applyFont="1" applyFill="1" applyAlignment="1">
      <alignment horizontal="center" vertical="top"/>
    </xf>
    <xf numFmtId="0" fontId="2" fillId="0" borderId="0" xfId="0" applyFont="1" applyAlignment="1" applyProtection="1">
      <alignment horizontal="center" vertical="center" wrapText="1"/>
      <protection hidden="1"/>
    </xf>
    <xf numFmtId="0" fontId="7" fillId="0" borderId="0" xfId="0" applyFont="1" applyAlignment="1" applyProtection="1">
      <alignment horizontal="left" vertical="top" wrapText="1"/>
      <protection hidden="1"/>
    </xf>
    <xf numFmtId="0" fontId="4" fillId="0" borderId="31" xfId="0" applyFont="1" applyBorder="1" applyAlignment="1" applyProtection="1">
      <alignment horizontal="left" vertical="center" wrapText="1" indent="1"/>
      <protection hidden="1"/>
    </xf>
    <xf numFmtId="0" fontId="4" fillId="0" borderId="32" xfId="0" applyFont="1" applyBorder="1" applyAlignment="1" applyProtection="1">
      <alignment horizontal="left" vertical="center" wrapText="1" indent="1"/>
      <protection hidden="1"/>
    </xf>
    <xf numFmtId="0" fontId="4" fillId="0" borderId="35" xfId="0" applyFont="1" applyBorder="1" applyAlignment="1" applyProtection="1">
      <alignment horizontal="left" vertical="center" wrapText="1" indent="1"/>
      <protection hidden="1"/>
    </xf>
    <xf numFmtId="0" fontId="4" fillId="0" borderId="0" xfId="0" applyFont="1" applyAlignment="1" applyProtection="1">
      <alignment horizontal="left" vertical="top" wrapText="1"/>
      <protection hidden="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7" xfId="0" applyFont="1"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8"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6"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6" xfId="0" applyFont="1" applyBorder="1" applyAlignment="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5" xfId="0" applyFont="1" applyBorder="1" applyAlignment="1">
      <alignment horizontal="left" vertical="top" wrapText="1"/>
    </xf>
    <xf numFmtId="0" fontId="4" fillId="0" borderId="33" xfId="0" applyFont="1" applyBorder="1" applyAlignment="1">
      <alignment horizontal="left" vertical="top" wrapText="1"/>
    </xf>
    <xf numFmtId="0" fontId="4" fillId="0" borderId="60" xfId="0" applyFont="1" applyBorder="1" applyAlignment="1">
      <alignment horizontal="left" vertical="top" wrapText="1"/>
    </xf>
    <xf numFmtId="0" fontId="4" fillId="0" borderId="19" xfId="0" applyFont="1" applyBorder="1" applyAlignment="1">
      <alignment horizontal="right" vertical="top" wrapText="1"/>
    </xf>
    <xf numFmtId="0" fontId="4" fillId="0" borderId="9" xfId="0" applyFont="1" applyBorder="1" applyAlignment="1">
      <alignment horizontal="right" vertical="top" wrapText="1"/>
    </xf>
    <xf numFmtId="0" fontId="4" fillId="0" borderId="64" xfId="2" applyBorder="1" applyAlignment="1">
      <alignment horizontal="left" vertical="top" wrapText="1"/>
    </xf>
    <xf numFmtId="0" fontId="4" fillId="0" borderId="63"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25" xfId="0" applyFont="1" applyBorder="1" applyAlignment="1">
      <alignment horizontal="right" vertical="top" wrapText="1"/>
    </xf>
    <xf numFmtId="0" fontId="4" fillId="0" borderId="60" xfId="0" applyFont="1" applyBorder="1" applyAlignment="1">
      <alignment horizontal="right" vertical="top" wrapText="1"/>
    </xf>
    <xf numFmtId="0" fontId="4" fillId="0" borderId="21" xfId="0" applyFont="1" applyBorder="1" applyAlignment="1">
      <alignment horizontal="right" vertical="top" wrapText="1"/>
    </xf>
    <xf numFmtId="0" fontId="4" fillId="0" borderId="61" xfId="0" applyFont="1" applyBorder="1" applyAlignment="1">
      <alignment horizontal="right" vertical="top" wrapText="1"/>
    </xf>
    <xf numFmtId="0" fontId="4" fillId="0" borderId="42" xfId="2" applyBorder="1" applyAlignment="1">
      <alignment horizontal="lef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37" xfId="0" applyFont="1" applyBorder="1" applyAlignment="1">
      <alignment horizontal="right" vertical="top" wrapText="1"/>
    </xf>
    <xf numFmtId="0" fontId="4" fillId="0" borderId="4" xfId="0" applyFont="1" applyBorder="1" applyAlignment="1">
      <alignment horizontal="right" vertical="top" wrapText="1"/>
    </xf>
    <xf numFmtId="0" fontId="4" fillId="0" borderId="39" xfId="0" applyFont="1" applyBorder="1" applyAlignment="1">
      <alignment horizontal="right" vertical="top" wrapText="1"/>
    </xf>
    <xf numFmtId="0" fontId="4" fillId="0" borderId="28"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61" xfId="1" applyNumberFormat="1" applyFont="1" applyFill="1" applyBorder="1" applyAlignment="1" applyProtection="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15" xfId="2" applyBorder="1" applyAlignment="1">
      <alignment horizontal="left" vertical="top" wrapText="1"/>
    </xf>
    <xf numFmtId="0" fontId="4" fillId="0" borderId="13" xfId="2" applyBorder="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 fillId="2" borderId="54" xfId="2" applyFill="1" applyBorder="1" applyAlignment="1">
      <alignment horizontal="left" vertical="top" wrapText="1"/>
    </xf>
    <xf numFmtId="0" fontId="4" fillId="2" borderId="3" xfId="2" applyFill="1" applyBorder="1" applyAlignment="1">
      <alignment horizontal="left" vertical="top" wrapText="1"/>
    </xf>
    <xf numFmtId="0" fontId="4" fillId="2" borderId="53" xfId="2" applyFill="1" applyBorder="1" applyAlignment="1">
      <alignment horizontal="left" vertical="top" wrapText="1"/>
    </xf>
    <xf numFmtId="0" fontId="4" fillId="0" borderId="43" xfId="2" applyBorder="1" applyAlignment="1">
      <alignment horizontal="left" vertical="top" wrapText="1"/>
    </xf>
    <xf numFmtId="0" fontId="4" fillId="0" borderId="1" xfId="2" applyBorder="1" applyAlignment="1">
      <alignment horizontal="left" vertical="top" wrapText="1"/>
    </xf>
    <xf numFmtId="0" fontId="4" fillId="0" borderId="49" xfId="2" applyBorder="1" applyAlignment="1">
      <alignment horizontal="left" vertical="top" wrapText="1"/>
    </xf>
    <xf numFmtId="0" fontId="4" fillId="0" borderId="58" xfId="2" applyBorder="1" applyAlignment="1">
      <alignment horizontal="left" vertical="top" wrapText="1"/>
    </xf>
    <xf numFmtId="0" fontId="4" fillId="0" borderId="12" xfId="2" applyBorder="1" applyAlignment="1">
      <alignment horizontal="left" vertical="top" wrapText="1"/>
    </xf>
    <xf numFmtId="0" fontId="4" fillId="0" borderId="59" xfId="2" applyBorder="1" applyAlignment="1">
      <alignment horizontal="left" vertical="top" wrapText="1"/>
    </xf>
    <xf numFmtId="0" fontId="4" fillId="0" borderId="56" xfId="2" applyBorder="1" applyAlignment="1">
      <alignment horizontal="left" vertical="top" wrapText="1"/>
    </xf>
    <xf numFmtId="0" fontId="4" fillId="0" borderId="20" xfId="2" applyBorder="1" applyAlignment="1">
      <alignment horizontal="left" vertical="top" wrapText="1"/>
    </xf>
    <xf numFmtId="0" fontId="4" fillId="0" borderId="37" xfId="2" applyBorder="1" applyAlignment="1">
      <alignment horizontal="left" vertical="top" wrapText="1"/>
    </xf>
    <xf numFmtId="0" fontId="5" fillId="3" borderId="18" xfId="0" applyFont="1" applyFill="1" applyBorder="1" applyAlignment="1">
      <alignment horizontal="left" vertical="center" wrapText="1"/>
    </xf>
    <xf numFmtId="0" fontId="5" fillId="3" borderId="52" xfId="0" applyFont="1" applyFill="1" applyBorder="1" applyAlignment="1">
      <alignment horizontal="left" vertical="center" wrapText="1"/>
    </xf>
    <xf numFmtId="0" fontId="4" fillId="0" borderId="19"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0" fontId="4" fillId="0" borderId="21" xfId="0" quotePrefix="1" applyFont="1" applyBorder="1" applyAlignment="1">
      <alignment horizontal="right" vertical="top" wrapText="1"/>
    </xf>
    <xf numFmtId="0" fontId="4" fillId="0" borderId="61" xfId="0" quotePrefix="1" applyFont="1" applyBorder="1" applyAlignment="1">
      <alignment horizontal="right" vertical="top" wrapText="1"/>
    </xf>
    <xf numFmtId="164" fontId="4" fillId="4" borderId="66" xfId="0" applyNumberFormat="1" applyFont="1" applyFill="1" applyBorder="1" applyAlignment="1" applyProtection="1">
      <alignment horizontal="right" vertical="top" wrapText="1"/>
      <protection hidden="1"/>
    </xf>
    <xf numFmtId="164" fontId="4" fillId="4" borderId="65" xfId="0" applyNumberFormat="1" applyFont="1" applyFill="1" applyBorder="1" applyAlignment="1" applyProtection="1">
      <alignment horizontal="right" vertical="top" wrapText="1"/>
      <protection hidden="1"/>
    </xf>
    <xf numFmtId="0" fontId="4" fillId="0" borderId="28" xfId="0" quotePrefix="1" applyFont="1" applyBorder="1" applyAlignment="1">
      <alignment horizontal="right" vertical="top" wrapText="1"/>
    </xf>
    <xf numFmtId="0" fontId="4" fillId="0" borderId="7" xfId="0" quotePrefix="1" applyFont="1" applyBorder="1" applyAlignment="1">
      <alignment horizontal="right" vertical="top" wrapText="1"/>
    </xf>
    <xf numFmtId="164" fontId="7" fillId="3" borderId="5" xfId="0" applyNumberFormat="1" applyFont="1" applyFill="1" applyBorder="1" applyAlignment="1" applyProtection="1">
      <alignment horizontal="center" vertical="center" wrapText="1"/>
      <protection hidden="1"/>
    </xf>
    <xf numFmtId="164" fontId="7" fillId="3" borderId="7" xfId="0" applyNumberFormat="1" applyFont="1" applyFill="1" applyBorder="1" applyAlignment="1" applyProtection="1">
      <alignment horizontal="center" vertical="center" wrapText="1"/>
      <protection hidden="1"/>
    </xf>
    <xf numFmtId="164" fontId="5" fillId="0" borderId="28" xfId="0" applyNumberFormat="1" applyFont="1" applyBorder="1" applyAlignment="1">
      <alignment horizontal="left" vertical="top" wrapText="1"/>
    </xf>
    <xf numFmtId="164" fontId="5" fillId="0" borderId="6" xfId="0" applyNumberFormat="1" applyFont="1" applyBorder="1" applyAlignment="1">
      <alignment horizontal="left" vertical="top" wrapText="1"/>
    </xf>
    <xf numFmtId="164" fontId="5" fillId="0" borderId="7" xfId="0" applyNumberFormat="1" applyFont="1" applyBorder="1" applyAlignment="1">
      <alignment horizontal="left" vertical="top" wrapText="1"/>
    </xf>
    <xf numFmtId="0" fontId="7" fillId="3" borderId="64" xfId="0" applyFont="1" applyFill="1" applyBorder="1" applyAlignment="1" applyProtection="1">
      <alignment horizontal="center" vertical="center" wrapText="1"/>
      <protection hidden="1"/>
    </xf>
    <xf numFmtId="0" fontId="7" fillId="3" borderId="63" xfId="0" applyFont="1" applyFill="1" applyBorder="1" applyAlignment="1" applyProtection="1">
      <alignment horizontal="center" vertical="center" wrapText="1"/>
      <protection hidden="1"/>
    </xf>
    <xf numFmtId="0" fontId="7" fillId="3" borderId="66" xfId="0" applyFont="1" applyFill="1" applyBorder="1" applyAlignment="1" applyProtection="1">
      <alignment horizontal="center" vertical="center" wrapText="1"/>
      <protection hidden="1"/>
    </xf>
    <xf numFmtId="0" fontId="7" fillId="3" borderId="65" xfId="0" applyFont="1" applyFill="1" applyBorder="1" applyAlignment="1" applyProtection="1">
      <alignment horizontal="center" vertical="center" wrapText="1"/>
      <protection hidden="1"/>
    </xf>
    <xf numFmtId="0" fontId="5" fillId="3" borderId="88" xfId="0" applyFont="1" applyFill="1" applyBorder="1" applyAlignment="1">
      <alignment horizontal="left" vertical="center" wrapText="1"/>
    </xf>
    <xf numFmtId="164" fontId="4" fillId="4" borderId="48" xfId="0" applyNumberFormat="1" applyFont="1" applyFill="1" applyBorder="1" applyAlignment="1" applyProtection="1">
      <alignment horizontal="right" vertical="top" wrapText="1"/>
      <protection hidden="1"/>
    </xf>
    <xf numFmtId="0" fontId="4" fillId="0" borderId="19" xfId="0" quotePrefix="1" applyFont="1" applyBorder="1" applyAlignment="1">
      <alignment horizontal="right" vertical="top" wrapText="1"/>
    </xf>
    <xf numFmtId="0" fontId="4" fillId="0" borderId="9" xfId="0" quotePrefix="1" applyFont="1" applyBorder="1" applyAlignment="1">
      <alignment horizontal="right" vertical="top" wrapText="1"/>
    </xf>
    <xf numFmtId="164" fontId="5" fillId="0" borderId="110" xfId="0" applyNumberFormat="1" applyFont="1" applyBorder="1" applyAlignment="1">
      <alignment horizontal="left" vertical="top" wrapText="1"/>
    </xf>
    <xf numFmtId="0" fontId="7" fillId="3" borderId="54" xfId="0" applyFont="1" applyFill="1" applyBorder="1" applyAlignment="1" applyProtection="1">
      <alignment horizontal="center" vertical="center" wrapText="1"/>
      <protection hidden="1"/>
    </xf>
    <xf numFmtId="0" fontId="7" fillId="3" borderId="53" xfId="0" applyFont="1" applyFill="1" applyBorder="1" applyAlignment="1" applyProtection="1">
      <alignment horizontal="center" vertical="center" wrapText="1"/>
      <protection hidden="1"/>
    </xf>
    <xf numFmtId="164" fontId="8" fillId="6" borderId="76" xfId="0" applyNumberFormat="1" applyFont="1" applyFill="1" applyBorder="1" applyAlignment="1">
      <alignment horizontal="center" vertical="center"/>
    </xf>
    <xf numFmtId="164" fontId="8" fillId="6" borderId="33" xfId="0" applyNumberFormat="1" applyFont="1" applyFill="1" applyBorder="1" applyAlignment="1">
      <alignment horizontal="center" vertical="center"/>
    </xf>
    <xf numFmtId="164" fontId="8" fillId="6" borderId="60" xfId="0" applyNumberFormat="1" applyFont="1" applyFill="1" applyBorder="1" applyAlignment="1">
      <alignment horizontal="center" vertical="center"/>
    </xf>
    <xf numFmtId="164" fontId="3" fillId="3" borderId="77" xfId="0" applyNumberFormat="1" applyFont="1" applyFill="1" applyBorder="1" applyAlignment="1">
      <alignment horizontal="center" vertical="center" wrapText="1"/>
    </xf>
    <xf numFmtId="164" fontId="3" fillId="3" borderId="22" xfId="0" applyNumberFormat="1" applyFont="1" applyFill="1" applyBorder="1" applyAlignment="1">
      <alignment horizontal="center" vertical="center" wrapText="1"/>
    </xf>
    <xf numFmtId="164" fontId="3" fillId="3" borderId="61" xfId="0" applyNumberFormat="1" applyFont="1" applyFill="1" applyBorder="1" applyAlignment="1">
      <alignment horizontal="center" vertical="center" wrapText="1"/>
    </xf>
    <xf numFmtId="2" fontId="4" fillId="0" borderId="21" xfId="0" applyNumberFormat="1" applyFont="1" applyBorder="1" applyAlignment="1">
      <alignment horizontal="center" vertical="center" wrapText="1"/>
    </xf>
    <xf numFmtId="2" fontId="4" fillId="0" borderId="22" xfId="0" applyNumberFormat="1" applyFont="1" applyBorder="1" applyAlignment="1">
      <alignment horizontal="center" vertical="center" wrapText="1"/>
    </xf>
    <xf numFmtId="0" fontId="4" fillId="0" borderId="22" xfId="0" applyFont="1" applyBorder="1" applyAlignment="1">
      <alignment horizontal="left" vertical="top" wrapText="1"/>
    </xf>
    <xf numFmtId="0" fontId="4" fillId="0" borderId="61" xfId="0" applyFont="1" applyBorder="1" applyAlignment="1">
      <alignment horizontal="left" vertical="top" wrapText="1"/>
    </xf>
    <xf numFmtId="0" fontId="4" fillId="0" borderId="103" xfId="0" applyFont="1" applyBorder="1" applyAlignment="1">
      <alignment horizontal="left" vertical="top" wrapText="1"/>
    </xf>
    <xf numFmtId="0" fontId="4" fillId="0" borderId="102" xfId="0" applyFont="1" applyBorder="1" applyAlignment="1">
      <alignment horizontal="left" vertical="top" wrapText="1"/>
    </xf>
    <xf numFmtId="0" fontId="4" fillId="0" borderId="108" xfId="0" applyFont="1" applyBorder="1" applyAlignment="1">
      <alignment horizontal="left" vertical="top" wrapText="1"/>
    </xf>
    <xf numFmtId="0" fontId="4" fillId="0" borderId="2" xfId="0" quotePrefix="1" applyFont="1" applyBorder="1" applyAlignment="1">
      <alignment vertical="top" wrapText="1"/>
    </xf>
    <xf numFmtId="0" fontId="4" fillId="0" borderId="37" xfId="0" quotePrefix="1" applyFont="1" applyBorder="1" applyAlignment="1">
      <alignment vertical="top" wrapText="1"/>
    </xf>
    <xf numFmtId="0" fontId="4" fillId="0" borderId="2" xfId="0" quotePrefix="1" applyFont="1" applyBorder="1" applyAlignment="1">
      <alignment horizontal="left" vertical="top" wrapText="1"/>
    </xf>
    <xf numFmtId="0" fontId="4" fillId="0" borderId="37" xfId="0" quotePrefix="1" applyFont="1" applyBorder="1" applyAlignment="1">
      <alignment horizontal="left" vertical="top" wrapText="1"/>
    </xf>
    <xf numFmtId="0" fontId="4" fillId="0" borderId="21" xfId="0" quotePrefix="1" applyFont="1" applyBorder="1" applyAlignment="1">
      <alignment horizontal="left" vertical="top" wrapText="1"/>
    </xf>
    <xf numFmtId="0" fontId="4" fillId="0" borderId="61" xfId="0" quotePrefix="1" applyFont="1" applyBorder="1" applyAlignment="1">
      <alignment horizontal="left" vertical="top" wrapText="1"/>
    </xf>
    <xf numFmtId="0" fontId="4" fillId="0" borderId="28" xfId="0" quotePrefix="1" applyFont="1" applyBorder="1" applyAlignment="1">
      <alignment horizontal="left" vertical="top" wrapText="1"/>
    </xf>
    <xf numFmtId="0" fontId="4" fillId="0" borderId="7" xfId="0" quotePrefix="1" applyFont="1" applyBorder="1" applyAlignment="1">
      <alignment horizontal="left" vertical="top" wrapText="1"/>
    </xf>
    <xf numFmtId="0" fontId="7" fillId="3" borderId="5" xfId="0" applyFont="1" applyFill="1" applyBorder="1" applyAlignment="1" applyProtection="1">
      <alignment horizontal="center" vertical="center" wrapText="1"/>
      <protection hidden="1"/>
    </xf>
    <xf numFmtId="0" fontId="7" fillId="3" borderId="7" xfId="0" applyFont="1" applyFill="1" applyBorder="1" applyAlignment="1" applyProtection="1">
      <alignment horizontal="center" vertical="center" wrapText="1"/>
      <protection hidden="1"/>
    </xf>
    <xf numFmtId="164" fontId="4" fillId="0" borderId="6" xfId="0" applyNumberFormat="1" applyFont="1" applyBorder="1" applyAlignment="1">
      <alignment horizontal="left" vertical="top" wrapText="1"/>
    </xf>
    <xf numFmtId="164" fontId="4" fillId="0" borderId="7" xfId="0" applyNumberFormat="1" applyFont="1" applyBorder="1" applyAlignment="1">
      <alignment horizontal="left" vertical="top" wrapText="1"/>
    </xf>
    <xf numFmtId="0" fontId="5" fillId="3" borderId="25" xfId="0" applyFont="1" applyFill="1" applyBorder="1" applyAlignment="1">
      <alignment horizontal="left" vertical="center" wrapText="1"/>
    </xf>
    <xf numFmtId="0" fontId="5" fillId="3" borderId="60" xfId="0" applyFont="1" applyFill="1" applyBorder="1" applyAlignment="1">
      <alignment horizontal="left" vertical="center" wrapText="1"/>
    </xf>
    <xf numFmtId="0" fontId="4" fillId="0" borderId="95" xfId="0" applyFont="1" applyBorder="1" applyAlignment="1">
      <alignment horizontal="right" vertical="top" wrapText="1"/>
    </xf>
    <xf numFmtId="0" fontId="4" fillId="0" borderId="112" xfId="0" applyFont="1" applyBorder="1" applyAlignment="1">
      <alignment horizontal="right" vertical="top" wrapText="1"/>
    </xf>
    <xf numFmtId="0" fontId="4" fillId="0" borderId="109" xfId="0" applyFont="1" applyBorder="1" applyAlignment="1">
      <alignment horizontal="right" vertical="top" wrapText="1"/>
    </xf>
    <xf numFmtId="0" fontId="4" fillId="0" borderId="111" xfId="0" applyFont="1" applyBorder="1" applyAlignment="1">
      <alignment horizontal="right" vertical="top" wrapText="1"/>
    </xf>
    <xf numFmtId="164" fontId="7" fillId="3" borderId="28" xfId="0" applyNumberFormat="1" applyFont="1" applyFill="1" applyBorder="1" applyAlignment="1">
      <alignment horizontal="left" vertical="center" wrapText="1"/>
    </xf>
    <xf numFmtId="0" fontId="4" fillId="0" borderId="109" xfId="2" applyBorder="1" applyAlignment="1">
      <alignment horizontal="left" vertical="top" wrapText="1"/>
    </xf>
    <xf numFmtId="0" fontId="4" fillId="0" borderId="10" xfId="2" applyBorder="1" applyAlignment="1">
      <alignment horizontal="left" vertical="top" wrapText="1"/>
    </xf>
    <xf numFmtId="0" fontId="4" fillId="0" borderId="19" xfId="2" applyBorder="1" applyAlignment="1">
      <alignment horizontal="left" vertical="top" wrapText="1"/>
    </xf>
    <xf numFmtId="0" fontId="5" fillId="3" borderId="6" xfId="0" applyFont="1" applyFill="1" applyBorder="1" applyAlignment="1">
      <alignment horizontal="left" vertical="center" wrapText="1"/>
    </xf>
    <xf numFmtId="0" fontId="4" fillId="0" borderId="110" xfId="0" applyFont="1" applyBorder="1" applyAlignment="1">
      <alignment horizontal="right" vertical="top" wrapText="1"/>
    </xf>
    <xf numFmtId="164" fontId="7" fillId="3" borderId="21" xfId="0" applyNumberFormat="1" applyFont="1" applyFill="1" applyBorder="1" applyAlignment="1">
      <alignment horizontal="left" vertical="center" wrapText="1"/>
    </xf>
    <xf numFmtId="164" fontId="7" fillId="3" borderId="22" xfId="0" applyNumberFormat="1" applyFont="1" applyFill="1" applyBorder="1" applyAlignment="1">
      <alignment horizontal="left" vertical="center" wrapText="1"/>
    </xf>
    <xf numFmtId="164" fontId="2" fillId="7" borderId="76" xfId="0" applyNumberFormat="1" applyFont="1" applyFill="1" applyBorder="1" applyAlignment="1" applyProtection="1">
      <alignment horizontal="center" vertical="center"/>
      <protection hidden="1"/>
    </xf>
    <xf numFmtId="164" fontId="2" fillId="7" borderId="33" xfId="0" applyNumberFormat="1" applyFont="1" applyFill="1" applyBorder="1" applyAlignment="1" applyProtection="1">
      <alignment horizontal="center" vertical="center"/>
      <protection hidden="1"/>
    </xf>
    <xf numFmtId="164" fontId="2" fillId="7" borderId="60" xfId="0" applyNumberFormat="1" applyFont="1" applyFill="1" applyBorder="1" applyAlignment="1" applyProtection="1">
      <alignment horizontal="center" vertical="center"/>
      <protection hidden="1"/>
    </xf>
    <xf numFmtId="0" fontId="4" fillId="2" borderId="28" xfId="1" applyNumberFormat="1" applyFont="1" applyFill="1" applyBorder="1" applyAlignment="1" applyProtection="1">
      <alignment horizontal="left" vertical="top" wrapText="1"/>
    </xf>
    <xf numFmtId="0" fontId="4" fillId="2" borderId="6" xfId="1" applyNumberFormat="1" applyFont="1" applyFill="1" applyBorder="1" applyAlignment="1" applyProtection="1">
      <alignment horizontal="left" vertical="top" wrapText="1"/>
    </xf>
    <xf numFmtId="0" fontId="4" fillId="2" borderId="7" xfId="1" applyNumberFormat="1" applyFont="1" applyFill="1" applyBorder="1" applyAlignment="1" applyProtection="1">
      <alignment horizontal="left" vertical="top" wrapText="1"/>
    </xf>
    <xf numFmtId="0" fontId="4" fillId="0" borderId="6" xfId="0" quotePrefix="1" applyFont="1" applyBorder="1" applyAlignment="1" applyProtection="1">
      <alignment horizontal="right" vertical="top" wrapText="1"/>
      <protection locked="0"/>
    </xf>
    <xf numFmtId="0" fontId="4" fillId="0" borderId="6" xfId="0" applyFont="1" applyBorder="1" applyAlignment="1">
      <alignment horizontal="right" vertical="top" wrapText="1"/>
    </xf>
    <xf numFmtId="0" fontId="5" fillId="3" borderId="33" xfId="0" applyFont="1" applyFill="1" applyBorder="1" applyAlignment="1">
      <alignment horizontal="left" vertical="center" wrapText="1"/>
    </xf>
    <xf numFmtId="0" fontId="4" fillId="0" borderId="21" xfId="0" quotePrefix="1" applyFont="1" applyBorder="1" applyAlignment="1" applyProtection="1">
      <alignment horizontal="right" vertical="top" wrapText="1"/>
      <protection locked="0"/>
    </xf>
    <xf numFmtId="0" fontId="4" fillId="0" borderId="22" xfId="0" quotePrefix="1" applyFont="1" applyBorder="1" applyAlignment="1" applyProtection="1">
      <alignment horizontal="right" vertical="top" wrapText="1"/>
      <protection locked="0"/>
    </xf>
    <xf numFmtId="0" fontId="4" fillId="0" borderId="20" xfId="0" applyFont="1" applyBorder="1" applyAlignment="1">
      <alignment horizontal="right" vertical="top" wrapText="1"/>
    </xf>
    <xf numFmtId="0" fontId="4" fillId="0" borderId="22" xfId="0" applyFont="1" applyBorder="1" applyAlignment="1">
      <alignment horizontal="right" vertical="top" wrapText="1"/>
    </xf>
    <xf numFmtId="164" fontId="2" fillId="7" borderId="76" xfId="0" applyNumberFormat="1" applyFont="1" applyFill="1" applyBorder="1" applyAlignment="1">
      <alignment horizontal="center" vertical="center"/>
    </xf>
    <xf numFmtId="164" fontId="2" fillId="7" borderId="33" xfId="0" applyNumberFormat="1" applyFont="1" applyFill="1" applyBorder="1" applyAlignment="1">
      <alignment horizontal="center" vertical="center"/>
    </xf>
    <xf numFmtId="164" fontId="2" fillId="7" borderId="60" xfId="0" applyNumberFormat="1" applyFont="1" applyFill="1" applyBorder="1" applyAlignment="1">
      <alignment horizontal="center" vertical="center"/>
    </xf>
    <xf numFmtId="2" fontId="4" fillId="0" borderId="19" xfId="0" applyNumberFormat="1" applyFont="1" applyBorder="1" applyAlignment="1">
      <alignment horizontal="left" vertical="center" wrapText="1"/>
    </xf>
    <xf numFmtId="2" fontId="4" fillId="0" borderId="92" xfId="0" applyNumberFormat="1" applyFont="1" applyBorder="1" applyAlignment="1">
      <alignment horizontal="left" vertical="center" wrapText="1"/>
    </xf>
    <xf numFmtId="2" fontId="4" fillId="0" borderId="0" xfId="0" applyNumberFormat="1" applyFont="1" applyAlignment="1">
      <alignment horizontal="left" vertical="center" wrapText="1"/>
    </xf>
    <xf numFmtId="164" fontId="4" fillId="4" borderId="17" xfId="0" applyNumberFormat="1" applyFont="1" applyFill="1" applyBorder="1" applyAlignment="1" applyProtection="1">
      <alignment horizontal="right" vertical="top" wrapText="1"/>
      <protection locked="0"/>
    </xf>
    <xf numFmtId="164" fontId="4" fillId="4" borderId="14" xfId="0" applyNumberFormat="1" applyFont="1" applyFill="1" applyBorder="1" applyAlignment="1" applyProtection="1">
      <alignment horizontal="right" vertical="top" wrapText="1"/>
      <protection locked="0"/>
    </xf>
    <xf numFmtId="164" fontId="4" fillId="4" borderId="11" xfId="0" applyNumberFormat="1" applyFont="1" applyFill="1" applyBorder="1" applyAlignment="1" applyProtection="1">
      <alignment horizontal="right" vertical="top" wrapText="1"/>
      <protection locked="0"/>
    </xf>
    <xf numFmtId="0" fontId="4" fillId="0" borderId="33" xfId="0" applyFont="1" applyBorder="1" applyAlignment="1">
      <alignment horizontal="right" vertical="top" wrapText="1"/>
    </xf>
    <xf numFmtId="0" fontId="4" fillId="4" borderId="111"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164" fontId="4" fillId="4" borderId="64" xfId="0" applyNumberFormat="1" applyFont="1" applyFill="1" applyBorder="1" applyAlignment="1" applyProtection="1">
      <alignment horizontal="right" vertical="top" wrapText="1"/>
      <protection locked="0"/>
    </xf>
    <xf numFmtId="164" fontId="4" fillId="4" borderId="63" xfId="0" applyNumberFormat="1" applyFont="1" applyFill="1" applyBorder="1" applyAlignment="1" applyProtection="1">
      <alignment horizontal="right" vertical="top" wrapText="1"/>
      <protection locked="0"/>
    </xf>
    <xf numFmtId="0" fontId="5" fillId="3" borderId="5" xfId="0" applyFont="1" applyFill="1" applyBorder="1" applyAlignment="1">
      <alignment horizontal="left" vertical="center" wrapText="1"/>
    </xf>
    <xf numFmtId="0" fontId="4" fillId="0" borderId="28" xfId="0" applyFont="1" applyBorder="1" applyAlignment="1">
      <alignment horizontal="left" vertical="top" wrapText="1"/>
    </xf>
    <xf numFmtId="0" fontId="4" fillId="0" borderId="6" xfId="0" applyFont="1" applyBorder="1" applyAlignment="1">
      <alignment horizontal="left" vertical="top" wrapText="1"/>
    </xf>
    <xf numFmtId="0" fontId="4" fillId="0" borderId="2" xfId="0" quotePrefix="1" applyFont="1" applyBorder="1" applyAlignment="1" applyProtection="1">
      <alignment vertical="top" wrapText="1"/>
      <protection locked="0"/>
    </xf>
    <xf numFmtId="0" fontId="4" fillId="0" borderId="37" xfId="0" quotePrefix="1" applyFont="1" applyBorder="1" applyAlignment="1" applyProtection="1">
      <alignment vertical="top" wrapText="1"/>
      <protection locked="0"/>
    </xf>
    <xf numFmtId="0" fontId="4" fillId="0" borderId="2" xfId="0" quotePrefix="1" applyFont="1" applyBorder="1" applyAlignment="1" applyProtection="1">
      <alignment horizontal="left" vertical="top" wrapText="1"/>
      <protection locked="0"/>
    </xf>
    <xf numFmtId="0" fontId="4" fillId="0" borderId="37" xfId="0" quotePrefix="1" applyFont="1" applyBorder="1" applyAlignment="1" applyProtection="1">
      <alignment horizontal="left" vertical="top" wrapText="1"/>
      <protection locked="0"/>
    </xf>
    <xf numFmtId="0" fontId="4" fillId="0" borderId="21" xfId="0" quotePrefix="1" applyFont="1" applyBorder="1" applyAlignment="1" applyProtection="1">
      <alignment horizontal="left" vertical="top" wrapText="1"/>
      <protection locked="0"/>
    </xf>
    <xf numFmtId="0" fontId="4" fillId="0" borderId="61" xfId="0" quotePrefix="1" applyFont="1" applyBorder="1" applyAlignment="1" applyProtection="1">
      <alignment horizontal="left" vertical="top" wrapText="1"/>
      <protection locked="0"/>
    </xf>
    <xf numFmtId="0" fontId="4" fillId="0" borderId="28" xfId="0" quotePrefix="1" applyFont="1" applyBorder="1" applyAlignment="1" applyProtection="1">
      <alignment horizontal="left" vertical="top" wrapText="1"/>
      <protection locked="0"/>
    </xf>
    <xf numFmtId="0" fontId="4" fillId="0" borderId="7" xfId="0" quotePrefix="1" applyFont="1" applyBorder="1" applyAlignment="1" applyProtection="1">
      <alignment horizontal="left" vertical="top" wrapText="1"/>
      <protection locked="0"/>
    </xf>
    <xf numFmtId="0" fontId="5" fillId="3" borderId="64"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4" xfId="0" applyFont="1" applyFill="1" applyBorder="1" applyAlignment="1">
      <alignment horizontal="center" vertical="center" wrapText="1"/>
    </xf>
    <xf numFmtId="164" fontId="5" fillId="3" borderId="74" xfId="0" applyNumberFormat="1" applyFont="1" applyFill="1" applyBorder="1" applyAlignment="1">
      <alignment horizontal="center" vertical="center" wrapText="1"/>
    </xf>
    <xf numFmtId="164" fontId="5" fillId="3" borderId="8" xfId="0" applyNumberFormat="1" applyFont="1" applyFill="1" applyBorder="1" applyAlignment="1">
      <alignment horizontal="center" vertical="center" wrapText="1"/>
    </xf>
    <xf numFmtId="164" fontId="5" fillId="3" borderId="73" xfId="0" applyNumberFormat="1" applyFont="1" applyFill="1" applyBorder="1" applyAlignment="1">
      <alignment horizontal="center" vertical="center" wrapText="1"/>
    </xf>
    <xf numFmtId="0" fontId="4" fillId="0" borderId="19" xfId="0" applyFont="1" applyBorder="1" applyAlignment="1">
      <alignment horizontal="left" vertical="top" wrapText="1"/>
    </xf>
    <xf numFmtId="0" fontId="4" fillId="0" borderId="84" xfId="0" applyFont="1" applyBorder="1" applyAlignment="1">
      <alignment horizontal="left" vertical="top" wrapText="1"/>
    </xf>
    <xf numFmtId="0" fontId="4" fillId="0" borderId="89" xfId="0" quotePrefix="1" applyFont="1" applyBorder="1" applyAlignment="1" applyProtection="1">
      <alignment horizontal="right" vertical="top" wrapText="1"/>
      <protection locked="0"/>
    </xf>
    <xf numFmtId="0" fontId="4" fillId="4" borderId="74" xfId="0" applyFont="1" applyFill="1" applyBorder="1" applyAlignment="1" applyProtection="1">
      <alignment horizontal="left" vertical="top" wrapText="1"/>
      <protection locked="0"/>
    </xf>
    <xf numFmtId="0" fontId="4" fillId="4" borderId="8" xfId="0" applyFont="1" applyFill="1" applyBorder="1" applyAlignment="1" applyProtection="1">
      <alignment horizontal="left" vertical="top" wrapText="1"/>
      <protection locked="0"/>
    </xf>
    <xf numFmtId="0" fontId="4" fillId="0" borderId="94" xfId="0" applyFont="1" applyBorder="1" applyAlignment="1">
      <alignment horizontal="right" vertical="top" wrapText="1"/>
    </xf>
    <xf numFmtId="0" fontId="4" fillId="0" borderId="90" xfId="0" applyFont="1" applyBorder="1" applyAlignment="1">
      <alignment horizontal="right" vertical="top" wrapText="1"/>
    </xf>
    <xf numFmtId="0" fontId="4" fillId="0" borderId="84" xfId="0" applyFont="1" applyBorder="1" applyAlignment="1">
      <alignment horizontal="right" vertical="top" wrapText="1"/>
    </xf>
    <xf numFmtId="0" fontId="4" fillId="0" borderId="88" xfId="0" quotePrefix="1" applyFont="1" applyBorder="1" applyAlignment="1" applyProtection="1">
      <alignment horizontal="right" vertical="top" wrapText="1"/>
      <protection locked="0"/>
    </xf>
    <xf numFmtId="164" fontId="4" fillId="0" borderId="17" xfId="0" applyNumberFormat="1" applyFont="1" applyBorder="1" applyAlignment="1">
      <alignment horizontal="center" vertical="top" wrapText="1"/>
    </xf>
    <xf numFmtId="164" fontId="4" fillId="0" borderId="11" xfId="0" applyNumberFormat="1" applyFont="1" applyBorder="1" applyAlignment="1">
      <alignment horizontal="center" vertical="top" wrapText="1"/>
    </xf>
    <xf numFmtId="164" fontId="4" fillId="0" borderId="14" xfId="0" applyNumberFormat="1" applyFont="1" applyBorder="1" applyAlignment="1">
      <alignment horizontal="center" vertical="top" wrapText="1"/>
    </xf>
    <xf numFmtId="0" fontId="4" fillId="0" borderId="88" xfId="0" applyFont="1" applyBorder="1" applyAlignment="1">
      <alignment horizontal="right" vertical="top" wrapText="1"/>
    </xf>
    <xf numFmtId="2" fontId="4" fillId="0" borderId="17" xfId="0" applyNumberFormat="1" applyFont="1" applyBorder="1" applyAlignment="1">
      <alignment horizontal="center" vertical="top"/>
    </xf>
    <xf numFmtId="2" fontId="4" fillId="0" borderId="11" xfId="0" applyNumberFormat="1" applyFont="1" applyBorder="1" applyAlignment="1">
      <alignment horizontal="center" vertical="top"/>
    </xf>
    <xf numFmtId="2" fontId="4" fillId="0" borderId="14" xfId="0" applyNumberFormat="1" applyFont="1" applyBorder="1" applyAlignment="1">
      <alignment horizontal="center" vertical="top"/>
    </xf>
    <xf numFmtId="0" fontId="4" fillId="0" borderId="94" xfId="0" applyFont="1" applyBorder="1" applyAlignment="1">
      <alignment horizontal="left" vertical="top" wrapText="1"/>
    </xf>
    <xf numFmtId="0" fontId="4" fillId="0" borderId="99" xfId="0" applyFont="1" applyBorder="1" applyAlignment="1">
      <alignment horizontal="left" vertical="top" wrapText="1"/>
    </xf>
    <xf numFmtId="0" fontId="4" fillId="0" borderId="4" xfId="0" applyFont="1" applyBorder="1" applyAlignment="1">
      <alignment horizontal="left" vertical="top" wrapText="1"/>
    </xf>
    <xf numFmtId="0" fontId="4" fillId="0" borderId="91" xfId="0" applyFont="1" applyBorder="1" applyAlignment="1">
      <alignment horizontal="left" vertical="top" wrapText="1"/>
    </xf>
    <xf numFmtId="0" fontId="4" fillId="0" borderId="90" xfId="0" applyFont="1" applyBorder="1" applyAlignment="1">
      <alignment horizontal="left" vertical="top" wrapText="1"/>
    </xf>
    <xf numFmtId="0" fontId="4" fillId="0" borderId="100" xfId="0" applyFont="1" applyBorder="1" applyAlignment="1">
      <alignment horizontal="left" vertical="top" wrapText="1"/>
    </xf>
    <xf numFmtId="0" fontId="4" fillId="2" borderId="2" xfId="1" applyNumberFormat="1" applyFont="1" applyFill="1" applyBorder="1" applyAlignment="1" applyProtection="1">
      <alignment horizontal="left" vertical="top" wrapText="1"/>
    </xf>
    <xf numFmtId="0" fontId="4" fillId="2" borderId="20" xfId="1" applyNumberFormat="1" applyFont="1" applyFill="1" applyBorder="1" applyAlignment="1" applyProtection="1">
      <alignment horizontal="left" vertical="top" wrapText="1"/>
    </xf>
    <xf numFmtId="0" fontId="4" fillId="2" borderId="94" xfId="1" applyNumberFormat="1" applyFont="1" applyFill="1" applyBorder="1" applyAlignment="1" applyProtection="1">
      <alignment horizontal="left" vertical="top" wrapText="1"/>
    </xf>
    <xf numFmtId="0" fontId="6" fillId="2" borderId="26" xfId="1" applyNumberFormat="1" applyFont="1" applyFill="1" applyBorder="1" applyAlignment="1" applyProtection="1">
      <alignment horizontal="left" vertical="top" wrapText="1"/>
    </xf>
    <xf numFmtId="0" fontId="6" fillId="2" borderId="29" xfId="1" applyNumberFormat="1" applyFont="1" applyFill="1" applyBorder="1" applyAlignment="1" applyProtection="1">
      <alignment horizontal="left" vertical="top" wrapText="1"/>
    </xf>
    <xf numFmtId="0" fontId="6" fillId="2" borderId="99" xfId="1" applyNumberFormat="1" applyFont="1" applyFill="1" applyBorder="1" applyAlignment="1" applyProtection="1">
      <alignment horizontal="left" vertical="top" wrapText="1"/>
    </xf>
    <xf numFmtId="164" fontId="2" fillId="7" borderId="3"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wrapText="1"/>
    </xf>
    <xf numFmtId="2" fontId="4" fillId="0" borderId="83" xfId="0" applyNumberFormat="1" applyFont="1" applyBorder="1" applyAlignment="1">
      <alignment horizontal="left" vertical="center" wrapText="1"/>
    </xf>
    <xf numFmtId="2" fontId="4" fillId="0" borderId="95" xfId="0" applyNumberFormat="1" applyFont="1" applyBorder="1" applyAlignment="1">
      <alignment horizontal="left" vertical="center" wrapText="1"/>
    </xf>
    <xf numFmtId="164" fontId="7" fillId="3" borderId="88" xfId="0" applyNumberFormat="1" applyFont="1" applyFill="1" applyBorder="1" applyAlignment="1">
      <alignment horizontal="left" vertical="center"/>
    </xf>
    <xf numFmtId="0" fontId="5" fillId="3" borderId="31" xfId="0" applyFont="1" applyFill="1" applyBorder="1" applyAlignment="1">
      <alignment horizontal="left" vertical="center" wrapText="1"/>
    </xf>
    <xf numFmtId="0" fontId="5" fillId="3" borderId="32" xfId="0" applyFont="1" applyFill="1" applyBorder="1" applyAlignment="1">
      <alignment horizontal="left" vertical="center" wrapText="1"/>
    </xf>
    <xf numFmtId="0" fontId="5" fillId="3" borderId="105" xfId="0" applyFont="1" applyFill="1" applyBorder="1" applyAlignment="1">
      <alignment horizontal="left" vertical="center" wrapText="1"/>
    </xf>
    <xf numFmtId="0" fontId="4" fillId="0" borderId="97" xfId="0" applyFont="1" applyBorder="1" applyAlignment="1">
      <alignment horizontal="left" vertical="top" wrapText="1"/>
    </xf>
    <xf numFmtId="0" fontId="4" fillId="0" borderId="101" xfId="0" applyFont="1" applyBorder="1" applyAlignment="1">
      <alignment horizontal="left" vertical="top" wrapText="1"/>
    </xf>
    <xf numFmtId="0" fontId="4" fillId="0" borderId="85" xfId="0" applyFont="1" applyBorder="1" applyAlignment="1">
      <alignment horizontal="left" vertical="top" wrapText="1"/>
    </xf>
    <xf numFmtId="164" fontId="7" fillId="3" borderId="1" xfId="0" applyNumberFormat="1" applyFont="1" applyFill="1" applyBorder="1" applyAlignment="1">
      <alignment horizontal="left" vertical="center" wrapText="1"/>
    </xf>
    <xf numFmtId="0" fontId="4" fillId="0" borderId="85" xfId="0" applyFont="1" applyBorder="1" applyAlignment="1">
      <alignment horizontal="right" vertical="top" wrapText="1"/>
    </xf>
    <xf numFmtId="0" fontId="4" fillId="0" borderId="89" xfId="0" applyFont="1" applyBorder="1" applyAlignment="1">
      <alignment horizontal="right" vertical="top" wrapText="1"/>
    </xf>
    <xf numFmtId="0" fontId="4" fillId="2" borderId="23" xfId="1" applyNumberFormat="1" applyFont="1" applyFill="1" applyBorder="1" applyAlignment="1" applyProtection="1">
      <alignment horizontal="left" vertical="top" wrapText="1"/>
    </xf>
    <xf numFmtId="0" fontId="4" fillId="2" borderId="24" xfId="1" applyNumberFormat="1" applyFont="1" applyFill="1" applyBorder="1" applyAlignment="1" applyProtection="1">
      <alignment horizontal="left" vertical="top" wrapText="1"/>
    </xf>
    <xf numFmtId="0" fontId="4" fillId="2" borderId="97" xfId="1" applyNumberFormat="1" applyFont="1" applyFill="1" applyBorder="1" applyAlignment="1" applyProtection="1">
      <alignment horizontal="left" vertical="top" wrapText="1"/>
    </xf>
    <xf numFmtId="164" fontId="5" fillId="0" borderId="75" xfId="0" applyNumberFormat="1" applyFont="1" applyBorder="1" applyAlignment="1">
      <alignment horizontal="center" vertical="center" wrapText="1"/>
    </xf>
    <xf numFmtId="164" fontId="5" fillId="0" borderId="92"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0" fontId="0" fillId="0" borderId="14" xfId="0" applyBorder="1" applyAlignment="1">
      <alignment horizontal="center" vertical="top" wrapText="1"/>
    </xf>
    <xf numFmtId="164" fontId="4" fillId="4" borderId="93" xfId="0" applyNumberFormat="1" applyFont="1" applyFill="1" applyBorder="1" applyAlignment="1" applyProtection="1">
      <alignment horizontal="right" vertical="top" wrapText="1"/>
      <protection locked="0"/>
    </xf>
    <xf numFmtId="164" fontId="4" fillId="4" borderId="75" xfId="0" applyNumberFormat="1" applyFont="1" applyFill="1" applyBorder="1" applyAlignment="1" applyProtection="1">
      <alignment horizontal="right" vertical="top" wrapText="1"/>
      <protection locked="0"/>
    </xf>
    <xf numFmtId="0" fontId="6" fillId="0" borderId="23" xfId="1" applyNumberFormat="1" applyFont="1" applyFill="1" applyBorder="1" applyAlignment="1" applyProtection="1">
      <alignment horizontal="left" vertical="center" wrapText="1"/>
    </xf>
    <xf numFmtId="0" fontId="6" fillId="0" borderId="24" xfId="1" applyNumberFormat="1" applyFont="1" applyFill="1" applyBorder="1" applyAlignment="1" applyProtection="1">
      <alignment horizontal="left" vertical="center" wrapText="1"/>
    </xf>
    <xf numFmtId="0" fontId="6" fillId="0" borderId="97" xfId="1" applyNumberFormat="1" applyFont="1" applyFill="1" applyBorder="1" applyAlignment="1" applyProtection="1">
      <alignment horizontal="left" vertical="center" wrapText="1"/>
    </xf>
    <xf numFmtId="0" fontId="5" fillId="3" borderId="1" xfId="0" applyFont="1" applyFill="1" applyBorder="1" applyAlignment="1">
      <alignment horizontal="left" vertical="center" wrapText="1"/>
    </xf>
    <xf numFmtId="0" fontId="4" fillId="0" borderId="84" xfId="0" quotePrefix="1" applyFont="1" applyBorder="1" applyAlignment="1" applyProtection="1">
      <alignment horizontal="right" vertical="top" wrapText="1"/>
      <protection locked="0"/>
    </xf>
    <xf numFmtId="164" fontId="7" fillId="3" borderId="88" xfId="0" applyNumberFormat="1" applyFont="1" applyFill="1" applyBorder="1" applyAlignment="1">
      <alignment horizontal="left" vertical="center" wrapText="1"/>
    </xf>
    <xf numFmtId="0" fontId="4" fillId="0" borderId="77" xfId="2" applyBorder="1" applyAlignment="1">
      <alignment horizontal="left" vertical="top" wrapText="1"/>
    </xf>
    <xf numFmtId="0" fontId="4" fillId="0" borderId="22" xfId="2" applyBorder="1" applyAlignment="1">
      <alignment horizontal="left" vertical="top" wrapText="1"/>
    </xf>
    <xf numFmtId="0" fontId="4" fillId="0" borderId="61" xfId="2" applyBorder="1" applyAlignment="1">
      <alignment horizontal="left" vertical="top" wrapText="1"/>
    </xf>
    <xf numFmtId="0" fontId="4" fillId="2" borderId="76" xfId="2" applyFill="1" applyBorder="1" applyAlignment="1">
      <alignment horizontal="left" vertical="top" wrapText="1"/>
    </xf>
    <xf numFmtId="0" fontId="4" fillId="2" borderId="33" xfId="2" applyFill="1" applyBorder="1" applyAlignment="1">
      <alignment horizontal="left" vertical="top" wrapText="1"/>
    </xf>
    <xf numFmtId="0" fontId="4" fillId="2" borderId="60" xfId="2" applyFill="1" applyBorder="1" applyAlignment="1">
      <alignment horizontal="left" vertical="top" wrapText="1"/>
    </xf>
    <xf numFmtId="0" fontId="4" fillId="2" borderId="56" xfId="2" applyFill="1" applyBorder="1" applyAlignment="1">
      <alignment horizontal="left" vertical="top" wrapText="1"/>
    </xf>
    <xf numFmtId="0" fontId="4" fillId="2" borderId="20" xfId="2" applyFill="1" applyBorder="1" applyAlignment="1">
      <alignment horizontal="left" vertical="top" wrapText="1"/>
    </xf>
    <xf numFmtId="0" fontId="4" fillId="2" borderId="37" xfId="2" applyFill="1" applyBorder="1" applyAlignment="1">
      <alignment horizontal="left" vertical="top" wrapText="1"/>
    </xf>
    <xf numFmtId="164" fontId="2" fillId="8" borderId="5"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164" fontId="2" fillId="8" borderId="7" xfId="0" applyNumberFormat="1" applyFont="1" applyFill="1" applyBorder="1" applyAlignment="1">
      <alignment horizontal="center" vertical="center"/>
    </xf>
    <xf numFmtId="0" fontId="4" fillId="2" borderId="17" xfId="2" applyFill="1" applyBorder="1" applyAlignment="1">
      <alignment horizontal="left" vertical="top" wrapText="1"/>
    </xf>
    <xf numFmtId="0" fontId="4" fillId="2" borderId="14" xfId="2" applyFill="1" applyBorder="1" applyAlignment="1">
      <alignment horizontal="left" vertical="top" wrapText="1"/>
    </xf>
    <xf numFmtId="0" fontId="4" fillId="0" borderId="25" xfId="0" quotePrefix="1" applyFont="1" applyBorder="1" applyAlignment="1">
      <alignment horizontal="right" vertical="top" wrapText="1"/>
    </xf>
    <xf numFmtId="164" fontId="8" fillId="9" borderId="5" xfId="0" applyNumberFormat="1" applyFont="1" applyFill="1" applyBorder="1" applyAlignment="1">
      <alignment horizontal="center" vertical="center"/>
    </xf>
    <xf numFmtId="164" fontId="8" fillId="9" borderId="6" xfId="0" applyNumberFormat="1" applyFont="1" applyFill="1" applyBorder="1" applyAlignment="1">
      <alignment horizontal="center" vertical="center"/>
    </xf>
    <xf numFmtId="164" fontId="8" fillId="9" borderId="7" xfId="0" applyNumberFormat="1" applyFont="1" applyFill="1" applyBorder="1" applyAlignment="1">
      <alignment horizontal="center" vertical="center"/>
    </xf>
    <xf numFmtId="0" fontId="4" fillId="0" borderId="61" xfId="0" quotePrefix="1" applyFont="1" applyBorder="1" applyAlignment="1" applyProtection="1">
      <alignment horizontal="right" vertical="top" wrapText="1"/>
      <protection locked="0"/>
    </xf>
    <xf numFmtId="0" fontId="4" fillId="0" borderId="5" xfId="0" applyFont="1" applyBorder="1" applyAlignment="1" applyProtection="1">
      <alignment horizontal="right" vertical="top" wrapText="1"/>
      <protection hidden="1"/>
    </xf>
    <xf numFmtId="0" fontId="4" fillId="0" borderId="7" xfId="0" applyFont="1" applyBorder="1" applyAlignment="1" applyProtection="1">
      <alignment horizontal="right" vertical="top" wrapText="1"/>
      <protection hidden="1"/>
    </xf>
    <xf numFmtId="0" fontId="4" fillId="0" borderId="19" xfId="0" quotePrefix="1" applyFont="1" applyBorder="1" applyAlignment="1" applyProtection="1">
      <alignment horizontal="right" vertical="top" wrapText="1"/>
      <protection hidden="1"/>
    </xf>
    <xf numFmtId="0" fontId="4" fillId="0" borderId="9" xfId="0" quotePrefix="1" applyFont="1" applyBorder="1" applyAlignment="1" applyProtection="1">
      <alignment horizontal="right" vertical="top" wrapText="1"/>
      <protection hidden="1"/>
    </xf>
    <xf numFmtId="164" fontId="7" fillId="3" borderId="15" xfId="0" applyNumberFormat="1" applyFont="1" applyFill="1" applyBorder="1" applyAlignment="1" applyProtection="1">
      <alignment horizontal="center" vertical="center" wrapText="1"/>
      <protection hidden="1"/>
    </xf>
    <xf numFmtId="164" fontId="7" fillId="3" borderId="16" xfId="0" applyNumberFormat="1" applyFont="1" applyFill="1" applyBorder="1" applyAlignment="1" applyProtection="1">
      <alignment horizontal="center" vertical="center" wrapText="1"/>
      <protection hidden="1"/>
    </xf>
    <xf numFmtId="0" fontId="5" fillId="3" borderId="5" xfId="0" applyFont="1" applyFill="1" applyBorder="1" applyAlignment="1" applyProtection="1">
      <alignment horizontal="left" vertical="center" wrapText="1"/>
      <protection hidden="1"/>
    </xf>
    <xf numFmtId="0" fontId="5" fillId="3" borderId="7" xfId="0" applyFont="1" applyFill="1" applyBorder="1" applyAlignment="1" applyProtection="1">
      <alignment horizontal="left" vertical="center" wrapText="1"/>
      <protection hidden="1"/>
    </xf>
    <xf numFmtId="164" fontId="5" fillId="0" borderId="28" xfId="0" applyNumberFormat="1" applyFont="1" applyBorder="1" applyAlignment="1" applyProtection="1">
      <alignment horizontal="left" vertical="center"/>
      <protection hidden="1"/>
    </xf>
    <xf numFmtId="164" fontId="5" fillId="0" borderId="6" xfId="0" applyNumberFormat="1" applyFont="1" applyBorder="1" applyAlignment="1" applyProtection="1">
      <alignment horizontal="left" vertical="center"/>
      <protection hidden="1"/>
    </xf>
    <xf numFmtId="164" fontId="5" fillId="0" borderId="7" xfId="0" applyNumberFormat="1" applyFont="1" applyBorder="1" applyAlignment="1" applyProtection="1">
      <alignment horizontal="left" vertical="center"/>
      <protection hidden="1"/>
    </xf>
    <xf numFmtId="0" fontId="4" fillId="0" borderId="28" xfId="0" applyFont="1" applyBorder="1" applyAlignment="1" applyProtection="1">
      <alignment horizontal="right" vertical="top" wrapText="1"/>
      <protection hidden="1"/>
    </xf>
    <xf numFmtId="0" fontId="4" fillId="0" borderId="4" xfId="0" applyFont="1" applyBorder="1" applyAlignment="1" applyProtection="1">
      <alignment horizontal="right" vertical="top" wrapText="1"/>
      <protection hidden="1"/>
    </xf>
    <xf numFmtId="0" fontId="4" fillId="0" borderId="39" xfId="0" applyFont="1" applyBorder="1" applyAlignment="1" applyProtection="1">
      <alignment horizontal="right" vertical="top" wrapText="1"/>
      <protection hidden="1"/>
    </xf>
    <xf numFmtId="0" fontId="4" fillId="0" borderId="95" xfId="0" applyFont="1" applyBorder="1" applyAlignment="1" applyProtection="1">
      <alignment horizontal="right" vertical="top" wrapText="1"/>
      <protection hidden="1"/>
    </xf>
    <xf numFmtId="0" fontId="4" fillId="0" borderId="112" xfId="0" applyFont="1" applyBorder="1" applyAlignment="1" applyProtection="1">
      <alignment horizontal="right" vertical="top" wrapText="1"/>
      <protection hidden="1"/>
    </xf>
    <xf numFmtId="0" fontId="4" fillId="0" borderId="17" xfId="2" applyBorder="1" applyAlignment="1" applyProtection="1">
      <alignment vertical="top" wrapText="1"/>
      <protection hidden="1"/>
    </xf>
    <xf numFmtId="0" fontId="4" fillId="0" borderId="11" xfId="2" applyBorder="1" applyAlignment="1" applyProtection="1">
      <alignment vertical="top" wrapText="1"/>
      <protection hidden="1"/>
    </xf>
    <xf numFmtId="0" fontId="4" fillId="0" borderId="14" xfId="2" applyBorder="1" applyAlignment="1" applyProtection="1">
      <alignment vertical="top" wrapText="1"/>
      <protection hidden="1"/>
    </xf>
    <xf numFmtId="0" fontId="4" fillId="0" borderId="25" xfId="0" applyFont="1" applyBorder="1" applyAlignment="1" applyProtection="1">
      <alignment horizontal="right" vertical="top" wrapText="1"/>
      <protection hidden="1"/>
    </xf>
    <xf numFmtId="0" fontId="4" fillId="0" borderId="60" xfId="0" applyFont="1" applyBorder="1" applyAlignment="1" applyProtection="1">
      <alignment horizontal="right" vertical="top" wrapText="1"/>
      <protection hidden="1"/>
    </xf>
    <xf numFmtId="0" fontId="4" fillId="0" borderId="2" xfId="0" applyFont="1" applyBorder="1" applyAlignment="1" applyProtection="1">
      <alignment horizontal="right" vertical="top" wrapText="1"/>
      <protection hidden="1"/>
    </xf>
    <xf numFmtId="0" fontId="4" fillId="0" borderId="37" xfId="0" applyFont="1" applyBorder="1" applyAlignment="1" applyProtection="1">
      <alignment horizontal="right" vertical="top" wrapText="1"/>
      <protection hidden="1"/>
    </xf>
    <xf numFmtId="0" fontId="4" fillId="0" borderId="21" xfId="0" applyFont="1" applyBorder="1" applyAlignment="1" applyProtection="1">
      <alignment horizontal="right" vertical="top" wrapText="1"/>
      <protection hidden="1"/>
    </xf>
    <xf numFmtId="0" fontId="4" fillId="0" borderId="61" xfId="0" applyFont="1" applyBorder="1" applyAlignment="1" applyProtection="1">
      <alignment horizontal="right" vertical="top" wrapText="1"/>
      <protection hidden="1"/>
    </xf>
    <xf numFmtId="0" fontId="4" fillId="0" borderId="10" xfId="0" applyFont="1" applyBorder="1" applyAlignment="1" applyProtection="1">
      <alignment horizontal="right" vertical="top" wrapText="1"/>
      <protection hidden="1"/>
    </xf>
    <xf numFmtId="0" fontId="4" fillId="0" borderId="114" xfId="0" applyFont="1" applyBorder="1" applyAlignment="1" applyProtection="1">
      <alignment horizontal="right" vertical="top" wrapText="1"/>
      <protection hidden="1"/>
    </xf>
    <xf numFmtId="0" fontId="4" fillId="0" borderId="10" xfId="0" quotePrefix="1" applyFont="1" applyBorder="1" applyAlignment="1" applyProtection="1">
      <alignment horizontal="right" vertical="top" wrapText="1"/>
      <protection hidden="1"/>
    </xf>
    <xf numFmtId="0" fontId="4" fillId="0" borderId="114" xfId="0" quotePrefix="1" applyFont="1" applyBorder="1" applyAlignment="1" applyProtection="1">
      <alignment horizontal="right" vertical="top" wrapText="1"/>
      <protection hidden="1"/>
    </xf>
    <xf numFmtId="0" fontId="4" fillId="0" borderId="28" xfId="0" quotePrefix="1" applyFont="1" applyBorder="1" applyAlignment="1" applyProtection="1">
      <alignment horizontal="right" vertical="top" wrapText="1"/>
      <protection hidden="1"/>
    </xf>
    <xf numFmtId="0" fontId="4" fillId="0" borderId="7" xfId="0" quotePrefix="1" applyFont="1" applyBorder="1" applyAlignment="1" applyProtection="1">
      <alignment horizontal="right" vertical="top" wrapText="1"/>
      <protection hidden="1"/>
    </xf>
    <xf numFmtId="0" fontId="4" fillId="0" borderId="109" xfId="0" applyFont="1" applyBorder="1" applyAlignment="1" applyProtection="1">
      <alignment horizontal="right" vertical="top" wrapText="1"/>
      <protection hidden="1"/>
    </xf>
    <xf numFmtId="0" fontId="4" fillId="0" borderId="111" xfId="0" applyFont="1" applyBorder="1" applyAlignment="1" applyProtection="1">
      <alignment horizontal="right" vertical="top" wrapText="1"/>
      <protection hidden="1"/>
    </xf>
    <xf numFmtId="0" fontId="4" fillId="0" borderId="33" xfId="0" applyFont="1" applyBorder="1" applyAlignment="1" applyProtection="1">
      <alignment horizontal="right" vertical="top" wrapText="1"/>
      <protection hidden="1"/>
    </xf>
    <xf numFmtId="0" fontId="4" fillId="0" borderId="20" xfId="0" applyFont="1" applyBorder="1" applyAlignment="1" applyProtection="1">
      <alignment horizontal="right" vertical="top" wrapText="1"/>
      <protection hidden="1"/>
    </xf>
    <xf numFmtId="0" fontId="4" fillId="0" borderId="22" xfId="0" applyFont="1" applyBorder="1" applyAlignment="1" applyProtection="1">
      <alignment horizontal="right" vertical="top" wrapText="1"/>
      <protection hidden="1"/>
    </xf>
    <xf numFmtId="0" fontId="5" fillId="3" borderId="10" xfId="0" applyFont="1" applyFill="1" applyBorder="1" applyAlignment="1" applyProtection="1">
      <alignment horizontal="left" vertical="top" wrapText="1"/>
      <protection hidden="1"/>
    </xf>
    <xf numFmtId="0" fontId="5" fillId="3" borderId="114" xfId="0" applyFont="1" applyFill="1" applyBorder="1" applyAlignment="1" applyProtection="1">
      <alignment horizontal="left" vertical="top" wrapText="1"/>
      <protection hidden="1"/>
    </xf>
    <xf numFmtId="0" fontId="4" fillId="0" borderId="21" xfId="0" quotePrefix="1" applyFont="1" applyBorder="1" applyAlignment="1" applyProtection="1">
      <alignment horizontal="right" vertical="top" wrapText="1"/>
      <protection hidden="1"/>
    </xf>
    <xf numFmtId="0" fontId="4" fillId="0" borderId="61" xfId="0" quotePrefix="1" applyFont="1" applyBorder="1" applyAlignment="1" applyProtection="1">
      <alignment horizontal="right" vertical="top" wrapText="1"/>
      <protection hidden="1"/>
    </xf>
    <xf numFmtId="0" fontId="4" fillId="0" borderId="28" xfId="0" quotePrefix="1" applyFont="1" applyBorder="1" applyAlignment="1" applyProtection="1">
      <alignment vertical="top" wrapText="1"/>
      <protection hidden="1"/>
    </xf>
    <xf numFmtId="0" fontId="4" fillId="0" borderId="7" xfId="0" quotePrefix="1" applyFont="1" applyBorder="1" applyAlignment="1" applyProtection="1">
      <alignment vertical="top" wrapText="1"/>
      <protection hidden="1"/>
    </xf>
    <xf numFmtId="164" fontId="7" fillId="3" borderId="5" xfId="0" applyNumberFormat="1" applyFont="1" applyFill="1" applyBorder="1" applyAlignment="1" applyProtection="1">
      <alignment vertical="center"/>
      <protection hidden="1"/>
    </xf>
    <xf numFmtId="164" fontId="7" fillId="3" borderId="6" xfId="0" applyNumberFormat="1" applyFont="1" applyFill="1" applyBorder="1" applyAlignment="1" applyProtection="1">
      <alignment vertical="center"/>
      <protection hidden="1"/>
    </xf>
    <xf numFmtId="164" fontId="7" fillId="3" borderId="7" xfId="0" applyNumberFormat="1" applyFont="1" applyFill="1" applyBorder="1" applyAlignment="1" applyProtection="1">
      <alignment vertical="center"/>
      <protection hidden="1"/>
    </xf>
    <xf numFmtId="0" fontId="4" fillId="0" borderId="26" xfId="0" applyFont="1" applyBorder="1" applyAlignment="1" applyProtection="1">
      <alignment vertical="top" wrapText="1"/>
      <protection hidden="1"/>
    </xf>
    <xf numFmtId="0" fontId="4" fillId="0" borderId="29" xfId="0" applyFont="1" applyBorder="1" applyAlignment="1" applyProtection="1">
      <alignment vertical="top" wrapText="1"/>
      <protection hidden="1"/>
    </xf>
    <xf numFmtId="0" fontId="4" fillId="0" borderId="38" xfId="0" applyFont="1" applyBorder="1" applyAlignment="1" applyProtection="1">
      <alignment vertical="top" wrapText="1"/>
      <protection hidden="1"/>
    </xf>
    <xf numFmtId="2" fontId="4" fillId="0" borderId="11" xfId="0" applyNumberFormat="1" applyFont="1" applyBorder="1" applyAlignment="1" applyProtection="1">
      <alignment horizontal="left" vertical="center" wrapText="1"/>
      <protection hidden="1"/>
    </xf>
    <xf numFmtId="2" fontId="4" fillId="0" borderId="10" xfId="0" applyNumberFormat="1" applyFont="1" applyBorder="1" applyAlignment="1" applyProtection="1">
      <alignment horizontal="left" vertical="center" wrapText="1"/>
      <protection hidden="1"/>
    </xf>
    <xf numFmtId="0" fontId="4" fillId="0" borderId="23" xfId="0" applyFont="1" applyBorder="1" applyAlignment="1" applyProtection="1">
      <alignment vertical="top" wrapText="1"/>
      <protection hidden="1"/>
    </xf>
    <xf numFmtId="0" fontId="4" fillId="0" borderId="24" xfId="0" applyFont="1" applyBorder="1" applyAlignment="1" applyProtection="1">
      <alignment vertical="top" wrapText="1"/>
      <protection hidden="1"/>
    </xf>
    <xf numFmtId="0" fontId="4" fillId="0" borderId="36" xfId="0" applyFont="1" applyBorder="1" applyAlignment="1" applyProtection="1">
      <alignment vertical="top" wrapText="1"/>
      <protection hidden="1"/>
    </xf>
    <xf numFmtId="164" fontId="8" fillId="9" borderId="76" xfId="0" applyNumberFormat="1" applyFont="1" applyFill="1" applyBorder="1" applyAlignment="1" applyProtection="1">
      <alignment horizontal="center" vertical="center"/>
      <protection hidden="1"/>
    </xf>
    <xf numFmtId="164" fontId="8" fillId="9" borderId="33" xfId="0" applyNumberFormat="1" applyFont="1" applyFill="1" applyBorder="1" applyAlignment="1" applyProtection="1">
      <alignment horizontal="center" vertical="center"/>
      <protection hidden="1"/>
    </xf>
    <xf numFmtId="164" fontId="8" fillId="9" borderId="60" xfId="0" applyNumberFormat="1" applyFont="1" applyFill="1" applyBorder="1" applyAlignment="1" applyProtection="1">
      <alignment horizontal="center" vertical="center"/>
      <protection hidden="1"/>
    </xf>
    <xf numFmtId="164" fontId="3" fillId="3" borderId="77" xfId="0" applyNumberFormat="1" applyFont="1" applyFill="1" applyBorder="1" applyAlignment="1" applyProtection="1">
      <alignment horizontal="center" vertical="center" wrapText="1"/>
      <protection hidden="1"/>
    </xf>
    <xf numFmtId="164" fontId="3" fillId="3" borderId="22" xfId="0" applyNumberFormat="1" applyFont="1" applyFill="1" applyBorder="1" applyAlignment="1" applyProtection="1">
      <alignment horizontal="center" vertical="center" wrapText="1"/>
      <protection hidden="1"/>
    </xf>
    <xf numFmtId="164" fontId="3" fillId="3" borderId="61" xfId="0" applyNumberFormat="1" applyFont="1" applyFill="1" applyBorder="1" applyAlignment="1" applyProtection="1">
      <alignment horizontal="center" vertical="center" wrapText="1"/>
      <protection hidden="1"/>
    </xf>
    <xf numFmtId="0" fontId="4" fillId="0" borderId="27" xfId="0" applyFont="1" applyBorder="1" applyAlignment="1" applyProtection="1">
      <alignment vertical="top" wrapText="1"/>
      <protection hidden="1"/>
    </xf>
    <xf numFmtId="0" fontId="4" fillId="0" borderId="30" xfId="0" applyFont="1" applyBorder="1" applyAlignment="1" applyProtection="1">
      <alignment vertical="top" wrapText="1"/>
      <protection hidden="1"/>
    </xf>
    <xf numFmtId="0" fontId="4" fillId="0" borderId="46" xfId="0" applyFont="1" applyBorder="1" applyAlignment="1" applyProtection="1">
      <alignment vertical="top" wrapText="1"/>
      <protection hidden="1"/>
    </xf>
    <xf numFmtId="0" fontId="4" fillId="0" borderId="103" xfId="0" applyFont="1" applyBorder="1" applyAlignment="1" applyProtection="1">
      <alignment vertical="top" wrapText="1"/>
      <protection hidden="1"/>
    </xf>
    <xf numFmtId="0" fontId="4" fillId="0" borderId="102" xfId="0" applyFont="1" applyBorder="1" applyAlignment="1" applyProtection="1">
      <alignment vertical="top" wrapText="1"/>
      <protection hidden="1"/>
    </xf>
    <xf numFmtId="0" fontId="4" fillId="0" borderId="108" xfId="0" applyFont="1" applyBorder="1" applyAlignment="1" applyProtection="1">
      <alignment vertical="top" wrapText="1"/>
      <protection hidden="1"/>
    </xf>
    <xf numFmtId="0" fontId="4" fillId="2" borderId="28" xfId="1" applyNumberFormat="1" applyFont="1" applyFill="1" applyBorder="1" applyAlignment="1" applyProtection="1">
      <alignment vertical="top" wrapText="1"/>
      <protection hidden="1"/>
    </xf>
    <xf numFmtId="0" fontId="4" fillId="2" borderId="6" xfId="1" applyNumberFormat="1" applyFont="1" applyFill="1" applyBorder="1" applyAlignment="1" applyProtection="1">
      <alignment vertical="top" wrapText="1"/>
      <protection hidden="1"/>
    </xf>
    <xf numFmtId="0" fontId="4" fillId="2" borderId="7" xfId="1" applyNumberFormat="1" applyFont="1" applyFill="1" applyBorder="1" applyAlignment="1" applyProtection="1">
      <alignment vertical="top" wrapText="1"/>
      <protection hidden="1"/>
    </xf>
    <xf numFmtId="0" fontId="5" fillId="3" borderId="28" xfId="0" applyFont="1" applyFill="1" applyBorder="1" applyAlignment="1" applyProtection="1">
      <alignment vertical="center" wrapText="1"/>
      <protection hidden="1"/>
    </xf>
    <xf numFmtId="0" fontId="5" fillId="3" borderId="7" xfId="0" applyFont="1" applyFill="1" applyBorder="1" applyAlignment="1" applyProtection="1">
      <alignment vertical="center" wrapText="1"/>
      <protection hidden="1"/>
    </xf>
    <xf numFmtId="164" fontId="2" fillId="9" borderId="5" xfId="0" applyNumberFormat="1" applyFont="1" applyFill="1" applyBorder="1" applyAlignment="1">
      <alignment horizontal="center" vertical="center"/>
    </xf>
    <xf numFmtId="164" fontId="2" fillId="9" borderId="6" xfId="0" applyNumberFormat="1" applyFont="1" applyFill="1" applyBorder="1" applyAlignment="1">
      <alignment horizontal="center" vertical="center"/>
    </xf>
    <xf numFmtId="164" fontId="2" fillId="9" borderId="7" xfId="0" applyNumberFormat="1" applyFont="1" applyFill="1" applyBorder="1" applyAlignment="1">
      <alignment horizontal="center" vertical="center"/>
    </xf>
    <xf numFmtId="0" fontId="4" fillId="0" borderId="82" xfId="2" applyBorder="1" applyAlignment="1">
      <alignment horizontal="left" vertical="top" wrapText="1"/>
    </xf>
    <xf numFmtId="0" fontId="4" fillId="0" borderId="78" xfId="2" applyBorder="1" applyAlignment="1">
      <alignment horizontal="left" vertical="top" wrapText="1"/>
    </xf>
    <xf numFmtId="164" fontId="8" fillId="9" borderId="3" xfId="0" applyNumberFormat="1" applyFont="1" applyFill="1" applyBorder="1" applyAlignment="1">
      <alignment horizontal="center" vertical="center"/>
    </xf>
    <xf numFmtId="164" fontId="2" fillId="13" borderId="5" xfId="0" applyNumberFormat="1" applyFont="1" applyFill="1" applyBorder="1" applyAlignment="1">
      <alignment horizontal="center" vertical="center"/>
    </xf>
    <xf numFmtId="164" fontId="2" fillId="13" borderId="6" xfId="0" applyNumberFormat="1" applyFont="1" applyFill="1" applyBorder="1" applyAlignment="1">
      <alignment horizontal="center" vertical="center"/>
    </xf>
    <xf numFmtId="164" fontId="2" fillId="13" borderId="7" xfId="0" applyNumberFormat="1" applyFont="1" applyFill="1" applyBorder="1" applyAlignment="1">
      <alignment horizontal="center" vertical="center"/>
    </xf>
    <xf numFmtId="164" fontId="8" fillId="14" borderId="5" xfId="0" applyNumberFormat="1" applyFont="1" applyFill="1" applyBorder="1" applyAlignment="1">
      <alignment horizontal="center" vertical="center"/>
    </xf>
    <xf numFmtId="164" fontId="8" fillId="14" borderId="6" xfId="0" applyNumberFormat="1" applyFont="1" applyFill="1" applyBorder="1" applyAlignment="1">
      <alignment horizontal="center" vertical="center"/>
    </xf>
    <xf numFmtId="164" fontId="8" fillId="14" borderId="7" xfId="0" applyNumberFormat="1" applyFont="1" applyFill="1" applyBorder="1" applyAlignment="1">
      <alignment horizontal="center" vertical="center"/>
    </xf>
    <xf numFmtId="164" fontId="7" fillId="3" borderId="5" xfId="0" applyNumberFormat="1" applyFont="1" applyFill="1" applyBorder="1" applyAlignment="1" applyProtection="1">
      <alignment horizontal="center" vertical="center"/>
      <protection hidden="1"/>
    </xf>
    <xf numFmtId="164" fontId="7" fillId="3" borderId="7" xfId="0" applyNumberFormat="1" applyFont="1" applyFill="1" applyBorder="1" applyAlignment="1" applyProtection="1">
      <alignment horizontal="center" vertical="center"/>
      <protection hidden="1"/>
    </xf>
    <xf numFmtId="0" fontId="0" fillId="0" borderId="0" xfId="0" applyAlignment="1">
      <alignment horizontal="center" vertical="top" wrapText="1"/>
    </xf>
    <xf numFmtId="0" fontId="0" fillId="16" borderId="0" xfId="0" applyFill="1" applyAlignment="1">
      <alignment horizontal="center"/>
    </xf>
  </cellXfs>
  <cellStyles count="7">
    <cellStyle name="Currency" xfId="1" builtinId="4"/>
    <cellStyle name="Heading 3" xfId="3" builtinId="18"/>
    <cellStyle name="Hyperlink" xfId="4" builtinId="8"/>
    <cellStyle name="Normal" xfId="0" builtinId="0"/>
    <cellStyle name="Normal 2" xfId="2" xr:uid="{00000000-0005-0000-0000-000002000000}"/>
    <cellStyle name="Normal 3" xfId="5" xr:uid="{C88B4DF4-1ECE-40C2-99AB-61A914500FE4}"/>
    <cellStyle name="Percent" xfId="6" builtinId="5"/>
  </cellStyles>
  <dxfs count="18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23"/>
  <sheetViews>
    <sheetView showGridLines="0" tabSelected="1" zoomScaleNormal="100" workbookViewId="0">
      <selection activeCell="B1" sqref="B1:G1"/>
    </sheetView>
  </sheetViews>
  <sheetFormatPr defaultColWidth="9.140625" defaultRowHeight="14.25" x14ac:dyDescent="0.25"/>
  <cols>
    <col min="1" max="1" width="2.5703125" style="284" customWidth="1"/>
    <col min="2" max="2" width="14.7109375" style="284" bestFit="1" customWidth="1"/>
    <col min="3" max="3" width="55.85546875" style="284" customWidth="1"/>
    <col min="4" max="4" width="31.7109375" style="284" customWidth="1"/>
    <col min="5" max="5" width="40.42578125" style="284" customWidth="1"/>
    <col min="6" max="6" width="13.5703125" style="284" customWidth="1"/>
    <col min="7" max="7" width="9.42578125" style="284" customWidth="1"/>
    <col min="8" max="16384" width="9.140625" style="284"/>
  </cols>
  <sheetData>
    <row r="1" spans="2:7" s="276" customFormat="1" ht="84" customHeight="1" x14ac:dyDescent="0.25">
      <c r="B1" s="485" t="s">
        <v>674</v>
      </c>
      <c r="C1" s="485"/>
      <c r="D1" s="485"/>
      <c r="E1" s="485"/>
      <c r="F1" s="485"/>
      <c r="G1" s="485"/>
    </row>
    <row r="2" spans="2:7" s="276" customFormat="1" ht="60" customHeight="1" x14ac:dyDescent="0.25">
      <c r="B2" s="485" t="s">
        <v>504</v>
      </c>
      <c r="C2" s="485"/>
      <c r="D2" s="485"/>
      <c r="E2" s="485"/>
      <c r="F2" s="485"/>
      <c r="G2" s="485"/>
    </row>
    <row r="3" spans="2:7" s="277" customFormat="1" ht="55.5" customHeight="1" x14ac:dyDescent="0.25">
      <c r="B3" s="490" t="s">
        <v>199</v>
      </c>
      <c r="C3" s="490"/>
      <c r="D3" s="490"/>
      <c r="E3" s="490"/>
      <c r="F3" s="490"/>
      <c r="G3" s="490"/>
    </row>
    <row r="4" spans="2:7" s="279" customFormat="1" ht="33.75" customHeight="1" thickBot="1" x14ac:dyDescent="0.3">
      <c r="B4" s="486" t="s">
        <v>15</v>
      </c>
      <c r="C4" s="486"/>
      <c r="D4" s="278"/>
      <c r="E4" s="278"/>
      <c r="F4" s="278"/>
      <c r="G4" s="278"/>
    </row>
    <row r="5" spans="2:7" ht="36" customHeight="1" thickBot="1" x14ac:dyDescent="0.3">
      <c r="B5" s="280" t="s">
        <v>182</v>
      </c>
      <c r="C5" s="281" t="s">
        <v>149</v>
      </c>
      <c r="D5" s="281" t="s">
        <v>178</v>
      </c>
      <c r="E5" s="282" t="s">
        <v>233</v>
      </c>
      <c r="F5" s="283" t="s">
        <v>18</v>
      </c>
      <c r="G5" s="283" t="s">
        <v>121</v>
      </c>
    </row>
    <row r="6" spans="2:7" s="286" customFormat="1" ht="26.25" thickBot="1" x14ac:dyDescent="0.3">
      <c r="B6" s="285" t="s">
        <v>231</v>
      </c>
      <c r="C6" s="487" t="s">
        <v>232</v>
      </c>
      <c r="D6" s="488"/>
      <c r="E6" s="488"/>
      <c r="F6" s="488"/>
      <c r="G6" s="489"/>
    </row>
    <row r="7" spans="2:7" s="286" customFormat="1" ht="51.75" thickTop="1" x14ac:dyDescent="0.25">
      <c r="B7" s="287" t="s">
        <v>280</v>
      </c>
      <c r="C7" s="288" t="s">
        <v>286</v>
      </c>
      <c r="D7" s="289" t="s">
        <v>17</v>
      </c>
      <c r="E7" s="290" t="s">
        <v>505</v>
      </c>
      <c r="F7" s="288" t="s">
        <v>281</v>
      </c>
      <c r="G7" s="291"/>
    </row>
    <row r="8" spans="2:7" s="286" customFormat="1" ht="51" x14ac:dyDescent="0.25">
      <c r="B8" s="287" t="s">
        <v>279</v>
      </c>
      <c r="C8" s="292" t="s">
        <v>285</v>
      </c>
      <c r="D8" s="289" t="s">
        <v>17</v>
      </c>
      <c r="E8" s="290" t="s">
        <v>505</v>
      </c>
      <c r="F8" s="288" t="s">
        <v>276</v>
      </c>
      <c r="G8" s="293"/>
    </row>
    <row r="9" spans="2:7" s="286" customFormat="1" ht="51" x14ac:dyDescent="0.25">
      <c r="B9" s="287" t="s">
        <v>651</v>
      </c>
      <c r="C9" s="292" t="s">
        <v>652</v>
      </c>
      <c r="D9" s="289" t="s">
        <v>184</v>
      </c>
      <c r="E9" s="290" t="s">
        <v>505</v>
      </c>
      <c r="F9" s="288" t="s">
        <v>276</v>
      </c>
      <c r="G9" s="293"/>
    </row>
    <row r="10" spans="2:7" s="286" customFormat="1" ht="51" x14ac:dyDescent="0.25">
      <c r="B10" s="287" t="s">
        <v>277</v>
      </c>
      <c r="C10" s="288" t="s">
        <v>284</v>
      </c>
      <c r="D10" s="289" t="s">
        <v>17</v>
      </c>
      <c r="E10" s="290" t="s">
        <v>505</v>
      </c>
      <c r="F10" s="288" t="s">
        <v>66</v>
      </c>
      <c r="G10" s="291"/>
    </row>
    <row r="11" spans="2:7" s="286" customFormat="1" ht="51" x14ac:dyDescent="0.25">
      <c r="B11" s="287" t="s">
        <v>609</v>
      </c>
      <c r="C11" s="294" t="s">
        <v>653</v>
      </c>
      <c r="D11" s="289" t="s">
        <v>184</v>
      </c>
      <c r="E11" s="290" t="s">
        <v>505</v>
      </c>
      <c r="F11" s="288" t="s">
        <v>66</v>
      </c>
      <c r="G11" s="291"/>
    </row>
    <row r="12" spans="2:7" s="286" customFormat="1" ht="51" x14ac:dyDescent="0.25">
      <c r="B12" s="287" t="s">
        <v>278</v>
      </c>
      <c r="C12" s="288" t="s">
        <v>283</v>
      </c>
      <c r="D12" s="289" t="s">
        <v>303</v>
      </c>
      <c r="E12" s="290" t="s">
        <v>505</v>
      </c>
      <c r="F12" s="288" t="s">
        <v>282</v>
      </c>
      <c r="G12" s="291"/>
    </row>
    <row r="13" spans="2:7" s="286" customFormat="1" ht="51" x14ac:dyDescent="0.25">
      <c r="B13" s="287" t="s">
        <v>234</v>
      </c>
      <c r="C13" s="288" t="s">
        <v>235</v>
      </c>
      <c r="D13" s="289" t="s">
        <v>19</v>
      </c>
      <c r="E13" s="290" t="s">
        <v>505</v>
      </c>
      <c r="F13" s="288" t="s">
        <v>66</v>
      </c>
      <c r="G13" s="295"/>
    </row>
    <row r="14" spans="2:7" s="286" customFormat="1" ht="51" x14ac:dyDescent="0.25">
      <c r="B14" s="287" t="s">
        <v>236</v>
      </c>
      <c r="C14" s="288" t="s">
        <v>237</v>
      </c>
      <c r="D14" s="289" t="s">
        <v>19</v>
      </c>
      <c r="E14" s="290" t="s">
        <v>505</v>
      </c>
      <c r="F14" s="288" t="s">
        <v>238</v>
      </c>
      <c r="G14" s="296"/>
    </row>
    <row r="15" spans="2:7" s="286" customFormat="1" ht="51" x14ac:dyDescent="0.25">
      <c r="B15" s="287" t="s">
        <v>610</v>
      </c>
      <c r="C15" s="288" t="s">
        <v>611</v>
      </c>
      <c r="D15" s="289" t="s">
        <v>184</v>
      </c>
      <c r="E15" s="290" t="s">
        <v>505</v>
      </c>
      <c r="F15" s="288" t="s">
        <v>238</v>
      </c>
      <c r="G15" s="296"/>
    </row>
    <row r="16" spans="2:7" ht="51" x14ac:dyDescent="0.25">
      <c r="B16" s="287" t="s">
        <v>239</v>
      </c>
      <c r="C16" s="288" t="s">
        <v>242</v>
      </c>
      <c r="D16" s="289" t="s">
        <v>328</v>
      </c>
      <c r="E16" s="290" t="s">
        <v>505</v>
      </c>
      <c r="F16" s="288" t="s">
        <v>240</v>
      </c>
      <c r="G16" s="296"/>
    </row>
    <row r="17" spans="2:7" ht="51" x14ac:dyDescent="0.25">
      <c r="B17" s="287" t="s">
        <v>241</v>
      </c>
      <c r="C17" s="288" t="s">
        <v>243</v>
      </c>
      <c r="D17" s="289" t="s">
        <v>328</v>
      </c>
      <c r="E17" s="290" t="s">
        <v>505</v>
      </c>
      <c r="F17" s="288" t="s">
        <v>244</v>
      </c>
      <c r="G17" s="297"/>
    </row>
    <row r="18" spans="2:7" ht="51" x14ac:dyDescent="0.25">
      <c r="B18" s="287" t="s">
        <v>245</v>
      </c>
      <c r="C18" s="288" t="s">
        <v>246</v>
      </c>
      <c r="D18" s="289" t="s">
        <v>184</v>
      </c>
      <c r="E18" s="290" t="s">
        <v>505</v>
      </c>
      <c r="F18" s="288" t="s">
        <v>244</v>
      </c>
      <c r="G18" s="296"/>
    </row>
    <row r="19" spans="2:7" ht="51" x14ac:dyDescent="0.25">
      <c r="B19" s="287" t="s">
        <v>292</v>
      </c>
      <c r="C19" s="288" t="s">
        <v>291</v>
      </c>
      <c r="D19" s="289" t="s">
        <v>19</v>
      </c>
      <c r="E19" s="290" t="s">
        <v>505</v>
      </c>
      <c r="F19" s="288" t="s">
        <v>66</v>
      </c>
      <c r="G19" s="298"/>
    </row>
    <row r="20" spans="2:7" ht="51" x14ac:dyDescent="0.25">
      <c r="B20" s="287" t="s">
        <v>293</v>
      </c>
      <c r="C20" s="288" t="s">
        <v>299</v>
      </c>
      <c r="D20" s="289" t="s">
        <v>19</v>
      </c>
      <c r="E20" s="290" t="s">
        <v>505</v>
      </c>
      <c r="F20" s="288" t="s">
        <v>297</v>
      </c>
      <c r="G20" s="299"/>
    </row>
    <row r="21" spans="2:7" ht="51" x14ac:dyDescent="0.25">
      <c r="B21" s="287" t="s">
        <v>294</v>
      </c>
      <c r="C21" s="288" t="s">
        <v>300</v>
      </c>
      <c r="D21" s="289" t="s">
        <v>19</v>
      </c>
      <c r="E21" s="290" t="s">
        <v>505</v>
      </c>
      <c r="F21" s="288" t="s">
        <v>287</v>
      </c>
      <c r="G21" s="298"/>
    </row>
    <row r="22" spans="2:7" ht="51" x14ac:dyDescent="0.25">
      <c r="B22" s="287" t="s">
        <v>295</v>
      </c>
      <c r="C22" s="288" t="s">
        <v>301</v>
      </c>
      <c r="D22" s="289" t="s">
        <v>19</v>
      </c>
      <c r="E22" s="290" t="s">
        <v>505</v>
      </c>
      <c r="F22" s="288" t="s">
        <v>66</v>
      </c>
      <c r="G22" s="299"/>
    </row>
    <row r="23" spans="2:7" ht="51" x14ac:dyDescent="0.25">
      <c r="B23" s="287" t="s">
        <v>296</v>
      </c>
      <c r="C23" s="288" t="s">
        <v>302</v>
      </c>
      <c r="D23" s="289" t="s">
        <v>328</v>
      </c>
      <c r="E23" s="290" t="s">
        <v>505</v>
      </c>
      <c r="F23" s="288" t="s">
        <v>298</v>
      </c>
      <c r="G23" s="298"/>
    </row>
  </sheetData>
  <sheetProtection algorithmName="SHA-512" hashValue="pTPo34sWC3AxL+EFdoaC2akfS6k7QBOlvkTA9f/wR/WsMXFHhOKhFc0yk1ImIAFgkMLn8mn4IDsQ990c1yaGRw==" saltValue="XpskoZUoTkY3N4pnnNwVYA==" spinCount="100000" sheet="1" objects="1" scenarios="1"/>
  <mergeCells count="5">
    <mergeCell ref="B1:G1"/>
    <mergeCell ref="B4:C4"/>
    <mergeCell ref="C6:G6"/>
    <mergeCell ref="B2:G2"/>
    <mergeCell ref="B3:G3"/>
  </mergeCells>
  <phoneticPr fontId="21"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2300-BE50-4A75-A16F-65CD259522AB}">
  <sheetPr>
    <tabColor rgb="FFCC66FF"/>
    <pageSetUpPr autoPageBreaks="0" fitToPage="1"/>
  </sheetPr>
  <dimension ref="A1:G128"/>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1.5703125" style="2" customWidth="1"/>
    <col min="8" max="16384" width="9.140625" style="2"/>
  </cols>
  <sheetData>
    <row r="1" spans="1:7" customFormat="1" ht="15" x14ac:dyDescent="0.25">
      <c r="A1" s="86" t="s">
        <v>672</v>
      </c>
      <c r="B1" s="2"/>
      <c r="C1" s="2"/>
      <c r="D1" s="2"/>
      <c r="E1" s="2"/>
      <c r="F1" s="301"/>
      <c r="G1" s="2"/>
    </row>
    <row r="2" spans="1:7" customFormat="1" ht="15.75" thickBot="1" x14ac:dyDescent="0.3">
      <c r="A2" s="20" t="str">
        <f>'Attachment 1 - Summary'!B2</f>
        <v>PC69863 Nesco Bus and Truck Sales, Inc.</v>
      </c>
      <c r="B2" s="21"/>
      <c r="C2" s="21"/>
      <c r="D2" s="21"/>
      <c r="F2" s="412"/>
    </row>
    <row r="3" spans="1:7" ht="24" thickBot="1" x14ac:dyDescent="0.25">
      <c r="A3" s="503" t="s">
        <v>102</v>
      </c>
      <c r="B3" s="504"/>
      <c r="C3" s="504"/>
      <c r="D3" s="505"/>
      <c r="E3" s="8"/>
      <c r="F3" s="304"/>
      <c r="G3" s="8"/>
    </row>
    <row r="4" spans="1:7" ht="51" customHeight="1" thickBot="1" x14ac:dyDescent="0.25">
      <c r="A4" s="506" t="s">
        <v>120</v>
      </c>
      <c r="B4" s="507"/>
      <c r="C4" s="507"/>
      <c r="D4" s="508"/>
      <c r="E4" s="8"/>
      <c r="F4" s="304"/>
      <c r="G4" s="8"/>
    </row>
    <row r="5" spans="1:7" s="4" customFormat="1" ht="11.25" customHeight="1" thickBot="1" x14ac:dyDescent="0.3">
      <c r="A5" s="411"/>
      <c r="B5" s="411"/>
      <c r="C5" s="411"/>
      <c r="D5" s="411"/>
      <c r="E5" s="411"/>
      <c r="F5" s="413"/>
      <c r="G5" s="64"/>
    </row>
    <row r="6" spans="1:7" s="7" customFormat="1" ht="32.25" thickBot="1" x14ac:dyDescent="0.25">
      <c r="A6" s="509" t="s">
        <v>151</v>
      </c>
      <c r="B6" s="510"/>
      <c r="C6" s="510"/>
      <c r="D6" s="511"/>
      <c r="E6" s="31"/>
      <c r="F6" s="414" t="s">
        <v>330</v>
      </c>
      <c r="G6" s="31"/>
    </row>
    <row r="7" spans="1:7" s="4" customFormat="1" ht="15" customHeight="1" thickBot="1" x14ac:dyDescent="0.3">
      <c r="A7" s="37" t="s">
        <v>6</v>
      </c>
      <c r="B7" s="22" t="s">
        <v>165</v>
      </c>
      <c r="C7" s="27"/>
      <c r="D7" s="35"/>
      <c r="E7" s="32"/>
      <c r="F7" s="415" t="s">
        <v>17</v>
      </c>
      <c r="G7" s="32"/>
    </row>
    <row r="8" spans="1:7" ht="52.5" thickTop="1" thickBot="1" x14ac:dyDescent="0.25">
      <c r="A8" s="38" t="s">
        <v>9</v>
      </c>
      <c r="B8" s="500" t="s">
        <v>152</v>
      </c>
      <c r="C8" s="501"/>
      <c r="D8" s="502"/>
      <c r="E8" s="13"/>
      <c r="F8" s="324" t="s">
        <v>331</v>
      </c>
      <c r="G8" s="13"/>
    </row>
    <row r="9" spans="1:7" s="7" customFormat="1" ht="44.25" customHeight="1" thickTop="1" thickBot="1" x14ac:dyDescent="0.25">
      <c r="A9" s="38" t="s">
        <v>136</v>
      </c>
      <c r="B9" s="500" t="s">
        <v>191</v>
      </c>
      <c r="C9" s="501"/>
      <c r="D9" s="502"/>
      <c r="E9" s="13"/>
      <c r="F9" s="324" t="s">
        <v>332</v>
      </c>
      <c r="G9" s="13"/>
    </row>
    <row r="10" spans="1:7" ht="12.75" customHeight="1" thickTop="1" x14ac:dyDescent="0.2">
      <c r="A10" s="39" t="s">
        <v>0</v>
      </c>
      <c r="B10" s="491" t="s">
        <v>154</v>
      </c>
      <c r="C10" s="492"/>
      <c r="D10" s="493"/>
      <c r="E10" s="13"/>
      <c r="F10" s="334" t="s">
        <v>304</v>
      </c>
      <c r="G10" s="13"/>
    </row>
    <row r="11" spans="1:7" x14ac:dyDescent="0.2">
      <c r="A11" s="39" t="s">
        <v>1</v>
      </c>
      <c r="B11" s="491" t="s">
        <v>153</v>
      </c>
      <c r="C11" s="492"/>
      <c r="D11" s="493"/>
      <c r="E11" s="13"/>
      <c r="F11" s="334">
        <v>3500</v>
      </c>
      <c r="G11" s="13"/>
    </row>
    <row r="12" spans="1:7" ht="14.1" customHeight="1" thickBot="1" x14ac:dyDescent="0.25">
      <c r="A12" s="40" t="s">
        <v>2</v>
      </c>
      <c r="B12" s="494" t="s">
        <v>155</v>
      </c>
      <c r="C12" s="495"/>
      <c r="D12" s="496"/>
      <c r="E12" s="13"/>
      <c r="F12" s="336" t="s">
        <v>333</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335</v>
      </c>
      <c r="G14" s="13"/>
    </row>
    <row r="15" spans="1:7" ht="15.75" customHeight="1" thickBot="1" x14ac:dyDescent="0.25">
      <c r="A15" s="41" t="s">
        <v>5</v>
      </c>
      <c r="B15" s="494" t="s">
        <v>158</v>
      </c>
      <c r="C15" s="495"/>
      <c r="D15" s="496"/>
      <c r="E15" s="13"/>
      <c r="F15" s="341" t="s">
        <v>336</v>
      </c>
      <c r="G15" s="13"/>
    </row>
    <row r="16" spans="1:7" ht="26.4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v>210</v>
      </c>
      <c r="G17" s="13"/>
    </row>
    <row r="18" spans="1:7" s="9" customFormat="1" ht="14.25" thickTop="1" thickBot="1" x14ac:dyDescent="0.25">
      <c r="C18" s="10"/>
      <c r="D18" s="10"/>
      <c r="E18" s="10"/>
      <c r="F18" s="345"/>
      <c r="G18" s="10"/>
    </row>
    <row r="19" spans="1:7" s="11" customFormat="1" ht="32.25" thickBot="1" x14ac:dyDescent="0.25">
      <c r="A19" s="509" t="s">
        <v>150</v>
      </c>
      <c r="B19" s="510"/>
      <c r="C19" s="510"/>
      <c r="D19" s="511"/>
      <c r="E19" s="31"/>
      <c r="F19" s="414" t="s">
        <v>330</v>
      </c>
      <c r="G19" s="31"/>
    </row>
    <row r="20" spans="1:7" s="4" customFormat="1" ht="15" customHeight="1" thickBot="1" x14ac:dyDescent="0.3">
      <c r="A20" s="52" t="s">
        <v>6</v>
      </c>
      <c r="B20" s="26" t="s">
        <v>165</v>
      </c>
      <c r="C20" s="28"/>
      <c r="D20" s="45"/>
      <c r="E20" s="32"/>
      <c r="F20" s="415" t="s">
        <v>17</v>
      </c>
      <c r="G20" s="32"/>
    </row>
    <row r="21" spans="1:7" ht="56.25" customHeight="1" x14ac:dyDescent="0.2">
      <c r="A21" s="42" t="s">
        <v>42</v>
      </c>
      <c r="B21" s="512" t="s">
        <v>161</v>
      </c>
      <c r="C21" s="513"/>
      <c r="D21" s="514"/>
      <c r="E21" s="13"/>
      <c r="F21" s="416">
        <f>63101.27*('PPI Adj'!D6)</f>
        <v>73639.182090000002</v>
      </c>
      <c r="G21" s="13"/>
    </row>
    <row r="22" spans="1:7" ht="42.75" customHeight="1" x14ac:dyDescent="0.2">
      <c r="A22" s="39" t="s">
        <v>20</v>
      </c>
      <c r="B22" s="491" t="s">
        <v>162</v>
      </c>
      <c r="C22" s="492"/>
      <c r="D22" s="493"/>
      <c r="E22" s="13"/>
      <c r="F22" s="417">
        <f>1641*('PPI Adj'!D6)</f>
        <v>1915.047</v>
      </c>
      <c r="G22" s="13"/>
    </row>
    <row r="23" spans="1:7" ht="28.5" customHeight="1" thickBot="1" x14ac:dyDescent="0.25">
      <c r="A23" s="43" t="s">
        <v>41</v>
      </c>
      <c r="B23" s="533" t="s">
        <v>163</v>
      </c>
      <c r="C23" s="534"/>
      <c r="D23" s="535"/>
      <c r="E23" s="1"/>
      <c r="F23" s="354">
        <v>20</v>
      </c>
      <c r="G23" s="1"/>
    </row>
    <row r="24" spans="1:7" ht="13.5" thickBot="1" x14ac:dyDescent="0.25">
      <c r="A24" s="69"/>
      <c r="B24" s="1"/>
      <c r="C24" s="1"/>
      <c r="D24" s="1"/>
      <c r="E24" s="1"/>
      <c r="F24" s="418"/>
      <c r="G24" s="1"/>
    </row>
    <row r="25" spans="1:7" s="7" customFormat="1" ht="32.25" thickBot="1" x14ac:dyDescent="0.25">
      <c r="A25" s="536" t="s">
        <v>164</v>
      </c>
      <c r="B25" s="537"/>
      <c r="C25" s="537"/>
      <c r="D25" s="538"/>
      <c r="E25" s="33"/>
      <c r="F25" s="414" t="s">
        <v>330</v>
      </c>
      <c r="G25" s="33"/>
    </row>
    <row r="26" spans="1:7" s="3" customFormat="1" ht="15" customHeight="1" thickBot="1" x14ac:dyDescent="0.3">
      <c r="A26" s="52" t="s">
        <v>6</v>
      </c>
      <c r="B26" s="53" t="s">
        <v>7</v>
      </c>
      <c r="C26" s="539" t="s">
        <v>165</v>
      </c>
      <c r="D26" s="540"/>
      <c r="E26" s="34"/>
      <c r="F26" s="415" t="s">
        <v>17</v>
      </c>
      <c r="G26" s="34"/>
    </row>
    <row r="27" spans="1:7" s="13" customFormat="1" ht="28.5" customHeight="1" thickBot="1" x14ac:dyDescent="0.3">
      <c r="A27" s="46" t="s">
        <v>8</v>
      </c>
      <c r="B27" s="24" t="s">
        <v>141</v>
      </c>
      <c r="C27" s="515" t="s">
        <v>118</v>
      </c>
      <c r="D27" s="516"/>
      <c r="E27" s="29"/>
      <c r="F27" s="373">
        <v>9900</v>
      </c>
      <c r="G27" s="29"/>
    </row>
    <row r="28" spans="1:7" s="13" customFormat="1" x14ac:dyDescent="0.25">
      <c r="A28" s="517" t="s">
        <v>21</v>
      </c>
      <c r="B28" s="519" t="s">
        <v>89</v>
      </c>
      <c r="C28" s="521" t="s">
        <v>67</v>
      </c>
      <c r="D28" s="522"/>
      <c r="E28" s="29"/>
      <c r="F28" s="367">
        <v>4</v>
      </c>
      <c r="G28" s="29"/>
    </row>
    <row r="29" spans="1:7" s="13" customFormat="1" ht="13.5" thickBot="1" x14ac:dyDescent="0.3">
      <c r="A29" s="518"/>
      <c r="B29" s="520"/>
      <c r="C29" s="515" t="s">
        <v>68</v>
      </c>
      <c r="D29" s="516"/>
      <c r="E29" s="29"/>
      <c r="F29" s="343">
        <v>16</v>
      </c>
      <c r="G29" s="29"/>
    </row>
    <row r="30" spans="1:7" s="13" customFormat="1" ht="15.95" customHeight="1" thickBot="1" x14ac:dyDescent="0.3">
      <c r="A30" s="47" t="s">
        <v>123</v>
      </c>
      <c r="B30" s="25" t="s">
        <v>119</v>
      </c>
      <c r="C30" s="531"/>
      <c r="D30" s="532"/>
      <c r="E30" s="30"/>
      <c r="F30" s="373"/>
      <c r="G30" s="30"/>
    </row>
    <row r="31" spans="1:7" s="13" customFormat="1" x14ac:dyDescent="0.25">
      <c r="A31" s="517" t="s">
        <v>59</v>
      </c>
      <c r="B31" s="519"/>
      <c r="C31" s="521" t="s">
        <v>58</v>
      </c>
      <c r="D31" s="522"/>
      <c r="E31" s="29"/>
      <c r="F31" s="367">
        <v>139</v>
      </c>
      <c r="G31" s="29"/>
    </row>
    <row r="32" spans="1:7" s="13" customFormat="1" x14ac:dyDescent="0.25">
      <c r="A32" s="525"/>
      <c r="B32" s="526"/>
      <c r="C32" s="527" t="s">
        <v>57</v>
      </c>
      <c r="D32" s="528"/>
      <c r="E32" s="29"/>
      <c r="F32" s="334">
        <v>227.8</v>
      </c>
      <c r="G32" s="29"/>
    </row>
    <row r="33" spans="1:7" s="13" customFormat="1" x14ac:dyDescent="0.25">
      <c r="A33" s="525"/>
      <c r="B33" s="526"/>
      <c r="C33" s="527" t="s">
        <v>69</v>
      </c>
      <c r="D33" s="528"/>
      <c r="E33" s="29"/>
      <c r="F33" s="334">
        <v>78</v>
      </c>
      <c r="G33" s="29"/>
    </row>
    <row r="34" spans="1:7" s="13" customFormat="1" x14ac:dyDescent="0.25">
      <c r="A34" s="525"/>
      <c r="B34" s="526"/>
      <c r="C34" s="529" t="s">
        <v>70</v>
      </c>
      <c r="D34" s="530"/>
      <c r="E34" s="29"/>
      <c r="F34" s="334">
        <v>73</v>
      </c>
      <c r="G34" s="29"/>
    </row>
    <row r="35" spans="1:7" s="13" customFormat="1" ht="14.45" customHeight="1" thickBot="1" x14ac:dyDescent="0.3">
      <c r="A35" s="518"/>
      <c r="B35" s="520"/>
      <c r="C35" s="515" t="s">
        <v>111</v>
      </c>
      <c r="D35" s="516"/>
      <c r="E35" s="29"/>
      <c r="F35" s="343">
        <v>77.599999999999994</v>
      </c>
      <c r="G35" s="29"/>
    </row>
    <row r="36" spans="1:7" s="13" customFormat="1" x14ac:dyDescent="0.25">
      <c r="A36" s="517" t="s">
        <v>11</v>
      </c>
      <c r="B36" s="519"/>
      <c r="C36" s="521" t="s">
        <v>24</v>
      </c>
      <c r="D36" s="522"/>
      <c r="E36" s="29"/>
      <c r="F36" s="367">
        <v>4100</v>
      </c>
      <c r="G36" s="29"/>
    </row>
    <row r="37" spans="1:7" s="13" customFormat="1" ht="15.95" customHeight="1" thickBot="1" x14ac:dyDescent="0.3">
      <c r="A37" s="518"/>
      <c r="B37" s="520"/>
      <c r="C37" s="515" t="s">
        <v>22</v>
      </c>
      <c r="D37" s="516"/>
      <c r="E37" s="29"/>
      <c r="F37" s="343">
        <v>4100</v>
      </c>
      <c r="G37" s="29"/>
    </row>
    <row r="38" spans="1:7" s="13" customFormat="1" x14ac:dyDescent="0.25">
      <c r="A38" s="517" t="s">
        <v>16</v>
      </c>
      <c r="B38" s="519"/>
      <c r="C38" s="521" t="s">
        <v>24</v>
      </c>
      <c r="D38" s="522"/>
      <c r="E38" s="29"/>
      <c r="F38" s="367">
        <v>6084</v>
      </c>
      <c r="G38" s="29"/>
    </row>
    <row r="39" spans="1:7" s="13" customFormat="1" ht="13.5" thickBot="1" x14ac:dyDescent="0.3">
      <c r="A39" s="518"/>
      <c r="B39" s="520"/>
      <c r="C39" s="523" t="s">
        <v>23</v>
      </c>
      <c r="D39" s="524"/>
      <c r="E39" s="29"/>
      <c r="F39" s="343">
        <v>6084</v>
      </c>
      <c r="G39" s="29"/>
    </row>
    <row r="40" spans="1:7" s="13" customFormat="1" ht="15.95" customHeight="1" thickBot="1" x14ac:dyDescent="0.3">
      <c r="A40" s="47" t="s">
        <v>52</v>
      </c>
      <c r="B40" s="25" t="s">
        <v>53</v>
      </c>
      <c r="C40" s="531"/>
      <c r="D40" s="532"/>
      <c r="E40" s="30"/>
      <c r="F40" s="373"/>
      <c r="G40" s="30"/>
    </row>
    <row r="41" spans="1:7" s="13" customFormat="1" ht="13.5" customHeight="1" thickBot="1" x14ac:dyDescent="0.3">
      <c r="A41" s="541" t="s">
        <v>12</v>
      </c>
      <c r="B41" s="542" t="s">
        <v>142</v>
      </c>
      <c r="C41" s="521" t="s">
        <v>174</v>
      </c>
      <c r="D41" s="522"/>
      <c r="E41" s="29"/>
      <c r="F41" s="367" t="s">
        <v>337</v>
      </c>
      <c r="G41" s="29"/>
    </row>
    <row r="42" spans="1:7" s="13" customFormat="1" ht="13.5" customHeight="1" thickBot="1" x14ac:dyDescent="0.3">
      <c r="A42" s="541"/>
      <c r="B42" s="542"/>
      <c r="C42" s="527" t="s">
        <v>175</v>
      </c>
      <c r="D42" s="528"/>
      <c r="E42" s="29"/>
      <c r="F42" s="334" t="s">
        <v>338</v>
      </c>
      <c r="G42" s="29"/>
    </row>
    <row r="43" spans="1:7" s="13" customFormat="1" ht="13.5" customHeight="1" thickBot="1" x14ac:dyDescent="0.3">
      <c r="A43" s="541"/>
      <c r="B43" s="542"/>
      <c r="C43" s="527" t="s">
        <v>176</v>
      </c>
      <c r="D43" s="528"/>
      <c r="E43" s="29"/>
      <c r="F43" s="419" t="s">
        <v>337</v>
      </c>
      <c r="G43" s="29"/>
    </row>
    <row r="44" spans="1:7" s="13" customFormat="1" ht="13.5" customHeight="1" thickBot="1" x14ac:dyDescent="0.3">
      <c r="A44" s="541"/>
      <c r="B44" s="542"/>
      <c r="C44" s="527" t="s">
        <v>177</v>
      </c>
      <c r="D44" s="528"/>
      <c r="E44" s="29"/>
      <c r="F44" s="334" t="s">
        <v>339</v>
      </c>
      <c r="G44" s="29"/>
    </row>
    <row r="45" spans="1:7" s="13" customFormat="1" ht="13.5" customHeight="1" thickBot="1" x14ac:dyDescent="0.3">
      <c r="A45" s="541"/>
      <c r="B45" s="542"/>
      <c r="C45" s="527" t="s">
        <v>112</v>
      </c>
      <c r="D45" s="528"/>
      <c r="E45" s="29"/>
      <c r="F45" s="334" t="s">
        <v>305</v>
      </c>
      <c r="G45" s="29"/>
    </row>
    <row r="46" spans="1:7" s="13" customFormat="1" ht="13.5" customHeight="1" thickBot="1" x14ac:dyDescent="0.3">
      <c r="A46" s="541"/>
      <c r="B46" s="542"/>
      <c r="C46" s="527" t="s">
        <v>113</v>
      </c>
      <c r="D46" s="528"/>
      <c r="E46" s="29"/>
      <c r="F46" s="334" t="s">
        <v>340</v>
      </c>
      <c r="G46" s="29"/>
    </row>
    <row r="47" spans="1:7" s="13" customFormat="1" ht="13.5" customHeight="1" thickBot="1" x14ac:dyDescent="0.3">
      <c r="A47" s="541"/>
      <c r="B47" s="542"/>
      <c r="C47" s="529" t="s">
        <v>114</v>
      </c>
      <c r="D47" s="530"/>
      <c r="E47" s="29"/>
      <c r="F47" s="334" t="s">
        <v>306</v>
      </c>
      <c r="G47" s="29"/>
    </row>
    <row r="48" spans="1:7" s="13" customFormat="1" ht="15" customHeight="1" thickBot="1" x14ac:dyDescent="0.3">
      <c r="A48" s="541"/>
      <c r="B48" s="542"/>
      <c r="C48" s="515" t="s">
        <v>115</v>
      </c>
      <c r="D48" s="516"/>
      <c r="E48" s="29"/>
      <c r="F48" s="343" t="s">
        <v>340</v>
      </c>
      <c r="G48" s="29"/>
    </row>
    <row r="49" spans="1:7" s="13" customFormat="1" ht="14.45" customHeight="1" x14ac:dyDescent="0.25">
      <c r="A49" s="517" t="s">
        <v>10</v>
      </c>
      <c r="B49" s="519" t="s">
        <v>62</v>
      </c>
      <c r="C49" s="521" t="s">
        <v>116</v>
      </c>
      <c r="D49" s="522"/>
      <c r="E49" s="29"/>
      <c r="F49" s="367">
        <v>6</v>
      </c>
      <c r="G49" s="29"/>
    </row>
    <row r="50" spans="1:7" s="13" customFormat="1" x14ac:dyDescent="0.25">
      <c r="A50" s="525"/>
      <c r="B50" s="526"/>
      <c r="C50" s="527" t="s">
        <v>117</v>
      </c>
      <c r="D50" s="528"/>
      <c r="E50" s="29"/>
      <c r="F50" s="334" t="s">
        <v>341</v>
      </c>
      <c r="G50" s="29"/>
    </row>
    <row r="51" spans="1:7" s="13" customFormat="1" ht="13.5" thickBot="1" x14ac:dyDescent="0.3">
      <c r="A51" s="525"/>
      <c r="B51" s="526"/>
      <c r="C51" s="523" t="s">
        <v>71</v>
      </c>
      <c r="D51" s="524"/>
      <c r="E51" s="29"/>
      <c r="F51" s="329" t="s">
        <v>342</v>
      </c>
      <c r="G51" s="29"/>
    </row>
    <row r="52" spans="1:7" s="13" customFormat="1" ht="80.099999999999994" customHeight="1" thickBot="1" x14ac:dyDescent="0.3">
      <c r="A52" s="48" t="s">
        <v>9</v>
      </c>
      <c r="B52" s="23" t="s">
        <v>140</v>
      </c>
      <c r="C52" s="529"/>
      <c r="D52" s="530"/>
      <c r="E52" s="29"/>
      <c r="F52" s="367"/>
      <c r="G52" s="29"/>
    </row>
    <row r="53" spans="1:7" s="13" customFormat="1" x14ac:dyDescent="0.25">
      <c r="A53" s="517" t="s">
        <v>25</v>
      </c>
      <c r="B53" s="519" t="s">
        <v>93</v>
      </c>
      <c r="C53" s="521" t="s">
        <v>72</v>
      </c>
      <c r="D53" s="522"/>
      <c r="E53" s="29"/>
      <c r="F53" s="367" t="s">
        <v>343</v>
      </c>
      <c r="G53" s="29"/>
    </row>
    <row r="54" spans="1:7" s="13" customFormat="1" ht="68.099999999999994" customHeight="1" thickBot="1" x14ac:dyDescent="0.3">
      <c r="A54" s="518"/>
      <c r="B54" s="520"/>
      <c r="C54" s="515" t="s">
        <v>73</v>
      </c>
      <c r="D54" s="516"/>
      <c r="E54" s="29"/>
      <c r="F54" s="343">
        <v>220</v>
      </c>
      <c r="G54" s="29"/>
    </row>
    <row r="55" spans="1:7" s="13" customFormat="1" x14ac:dyDescent="0.25">
      <c r="A55" s="517" t="s">
        <v>26</v>
      </c>
      <c r="B55" s="519"/>
      <c r="C55" s="521" t="s">
        <v>74</v>
      </c>
      <c r="D55" s="522"/>
      <c r="E55" s="29"/>
      <c r="F55" s="367" t="s">
        <v>344</v>
      </c>
      <c r="G55" s="29"/>
    </row>
    <row r="56" spans="1:7" s="13" customFormat="1" x14ac:dyDescent="0.25">
      <c r="A56" s="525"/>
      <c r="B56" s="526"/>
      <c r="C56" s="527" t="s">
        <v>75</v>
      </c>
      <c r="D56" s="528"/>
      <c r="E56" s="29"/>
      <c r="F56" s="334">
        <v>2</v>
      </c>
      <c r="G56" s="29"/>
    </row>
    <row r="57" spans="1:7" s="13" customFormat="1" ht="13.5" thickBot="1" x14ac:dyDescent="0.3">
      <c r="A57" s="518"/>
      <c r="B57" s="520"/>
      <c r="C57" s="515" t="s">
        <v>76</v>
      </c>
      <c r="D57" s="516"/>
      <c r="E57" s="29"/>
      <c r="F57" s="343" t="s">
        <v>345</v>
      </c>
      <c r="G57" s="29"/>
    </row>
    <row r="58" spans="1:7" s="13" customFormat="1" ht="15.95" customHeight="1" thickBot="1" x14ac:dyDescent="0.3">
      <c r="A58" s="47" t="s">
        <v>44</v>
      </c>
      <c r="B58" s="25" t="s">
        <v>45</v>
      </c>
      <c r="C58" s="531"/>
      <c r="D58" s="532"/>
      <c r="E58" s="30"/>
      <c r="F58" s="384"/>
      <c r="G58" s="30"/>
    </row>
    <row r="59" spans="1:7" s="13" customFormat="1" ht="28.5" customHeight="1" thickBot="1" x14ac:dyDescent="0.3">
      <c r="A59" s="47" t="s">
        <v>44</v>
      </c>
      <c r="B59" s="25" t="s">
        <v>63</v>
      </c>
      <c r="C59" s="531"/>
      <c r="D59" s="532"/>
      <c r="E59" s="30"/>
      <c r="F59" s="384"/>
      <c r="G59" s="30"/>
    </row>
    <row r="60" spans="1:7" s="13" customFormat="1" ht="30" customHeight="1" thickBot="1" x14ac:dyDescent="0.3">
      <c r="A60" s="47" t="s">
        <v>44</v>
      </c>
      <c r="B60" s="25" t="s">
        <v>64</v>
      </c>
      <c r="C60" s="531"/>
      <c r="D60" s="532"/>
      <c r="E60" s="30"/>
      <c r="F60" s="384"/>
      <c r="G60" s="30"/>
    </row>
    <row r="61" spans="1:7" s="13" customFormat="1" ht="15.95" customHeight="1" thickBot="1" x14ac:dyDescent="0.3">
      <c r="A61" s="47" t="s">
        <v>50</v>
      </c>
      <c r="B61" s="25" t="s">
        <v>65</v>
      </c>
      <c r="C61" s="531"/>
      <c r="D61" s="532"/>
      <c r="E61" s="30"/>
      <c r="F61" s="384"/>
      <c r="G61" s="30"/>
    </row>
    <row r="62" spans="1:7" s="13" customFormat="1" ht="13.5" thickBot="1" x14ac:dyDescent="0.3">
      <c r="A62" s="47" t="s">
        <v>27</v>
      </c>
      <c r="B62" s="25"/>
      <c r="C62" s="543" t="s">
        <v>77</v>
      </c>
      <c r="D62" s="544"/>
      <c r="E62" s="29"/>
      <c r="F62" s="373" t="s">
        <v>346</v>
      </c>
      <c r="G62" s="29"/>
    </row>
    <row r="63" spans="1:7" s="13" customFormat="1" ht="40.5" customHeight="1" thickBot="1" x14ac:dyDescent="0.3">
      <c r="A63" s="47" t="s">
        <v>28</v>
      </c>
      <c r="B63" s="25" t="s">
        <v>147</v>
      </c>
      <c r="C63" s="543" t="s">
        <v>78</v>
      </c>
      <c r="D63" s="544"/>
      <c r="E63" s="29"/>
      <c r="F63" s="373">
        <v>33</v>
      </c>
      <c r="G63" s="29"/>
    </row>
    <row r="64" spans="1:7" s="13" customFormat="1" ht="40.5" customHeight="1" thickBot="1" x14ac:dyDescent="0.3">
      <c r="A64" s="47" t="s">
        <v>51</v>
      </c>
      <c r="B64" s="25" t="s">
        <v>79</v>
      </c>
      <c r="C64" s="531"/>
      <c r="D64" s="532"/>
      <c r="E64" s="30"/>
      <c r="F64" s="373"/>
      <c r="G64" s="30"/>
    </row>
    <row r="65" spans="1:7" s="13" customFormat="1" ht="41.1" customHeight="1" thickBot="1" x14ac:dyDescent="0.3">
      <c r="A65" s="47" t="s">
        <v>54</v>
      </c>
      <c r="B65" s="25" t="s">
        <v>80</v>
      </c>
      <c r="C65" s="531"/>
      <c r="D65" s="532"/>
      <c r="E65" s="30"/>
      <c r="F65" s="373"/>
      <c r="G65" s="30"/>
    </row>
    <row r="66" spans="1:7" s="13" customFormat="1" ht="77.099999999999994" customHeight="1" thickBot="1" x14ac:dyDescent="0.3">
      <c r="A66" s="47" t="s">
        <v>29</v>
      </c>
      <c r="B66" s="25" t="s">
        <v>126</v>
      </c>
      <c r="C66" s="531"/>
      <c r="D66" s="532"/>
      <c r="E66" s="30"/>
      <c r="F66" s="373"/>
      <c r="G66" s="30"/>
    </row>
    <row r="67" spans="1:7" s="13" customFormat="1" ht="39" thickBot="1" x14ac:dyDescent="0.3">
      <c r="A67" s="47" t="s">
        <v>31</v>
      </c>
      <c r="B67" s="25" t="s">
        <v>94</v>
      </c>
      <c r="C67" s="543" t="s">
        <v>30</v>
      </c>
      <c r="D67" s="544"/>
      <c r="E67" s="29"/>
      <c r="F67" s="373" t="s">
        <v>347</v>
      </c>
      <c r="G67" s="29"/>
    </row>
    <row r="68" spans="1:7" s="13" customFormat="1" ht="26.45" customHeight="1" thickBot="1" x14ac:dyDescent="0.3">
      <c r="A68" s="47" t="s">
        <v>55</v>
      </c>
      <c r="B68" s="25" t="s">
        <v>95</v>
      </c>
      <c r="C68" s="531"/>
      <c r="D68" s="532"/>
      <c r="E68" s="30"/>
      <c r="F68" s="373"/>
      <c r="G68" s="30"/>
    </row>
    <row r="69" spans="1:7" s="13" customFormat="1" ht="26.25" thickBot="1" x14ac:dyDescent="0.3">
      <c r="A69" s="47" t="s">
        <v>32</v>
      </c>
      <c r="B69" s="25" t="s">
        <v>96</v>
      </c>
      <c r="C69" s="543" t="s">
        <v>30</v>
      </c>
      <c r="D69" s="544"/>
      <c r="E69" s="29"/>
      <c r="F69" s="373" t="s">
        <v>348</v>
      </c>
      <c r="G69" s="29"/>
    </row>
    <row r="70" spans="1:7" s="13" customFormat="1" ht="42.6" customHeight="1" thickBot="1" x14ac:dyDescent="0.3">
      <c r="A70" s="47" t="s">
        <v>56</v>
      </c>
      <c r="B70" s="25" t="s">
        <v>167</v>
      </c>
      <c r="C70" s="531"/>
      <c r="D70" s="532"/>
      <c r="E70" s="30"/>
      <c r="F70" s="373"/>
      <c r="G70" s="30"/>
    </row>
    <row r="71" spans="1:7" s="13" customFormat="1" ht="30.95" customHeight="1" thickBot="1" x14ac:dyDescent="0.3">
      <c r="A71" s="47" t="s">
        <v>48</v>
      </c>
      <c r="B71" s="25" t="s">
        <v>47</v>
      </c>
      <c r="C71" s="531"/>
      <c r="D71" s="532"/>
      <c r="E71" s="30"/>
      <c r="F71" s="373"/>
      <c r="G71" s="30"/>
    </row>
    <row r="72" spans="1:7" s="13" customFormat="1" ht="27.6" customHeight="1" thickBot="1" x14ac:dyDescent="0.3">
      <c r="A72" s="47" t="s">
        <v>49</v>
      </c>
      <c r="B72" s="25" t="s">
        <v>103</v>
      </c>
      <c r="C72" s="531"/>
      <c r="D72" s="532"/>
      <c r="E72" s="30"/>
      <c r="F72" s="373"/>
      <c r="G72" s="30"/>
    </row>
    <row r="73" spans="1:7" s="13" customFormat="1" ht="26.25" thickBot="1" x14ac:dyDescent="0.3">
      <c r="A73" s="47" t="s">
        <v>46</v>
      </c>
      <c r="B73" s="25" t="s">
        <v>81</v>
      </c>
      <c r="C73" s="531"/>
      <c r="D73" s="532"/>
      <c r="E73" s="30"/>
      <c r="F73" s="373"/>
      <c r="G73" s="30"/>
    </row>
    <row r="74" spans="1:7" ht="13.5" thickBot="1" x14ac:dyDescent="0.25"/>
    <row r="75" spans="1:7" s="16" customFormat="1" ht="32.25" thickBot="1" x14ac:dyDescent="0.3">
      <c r="A75" s="536" t="s">
        <v>168</v>
      </c>
      <c r="B75" s="537"/>
      <c r="C75" s="537"/>
      <c r="D75" s="538"/>
      <c r="E75" s="33"/>
      <c r="F75" s="414" t="s">
        <v>330</v>
      </c>
      <c r="G75" s="33"/>
    </row>
    <row r="76" spans="1:7" s="3" customFormat="1" ht="15" customHeight="1" thickBot="1" x14ac:dyDescent="0.3">
      <c r="A76" s="545" t="s">
        <v>169</v>
      </c>
      <c r="B76" s="546"/>
      <c r="C76" s="546"/>
      <c r="D76" s="547"/>
      <c r="E76" s="34"/>
      <c r="F76" s="415" t="s">
        <v>17</v>
      </c>
      <c r="G76" s="34"/>
    </row>
    <row r="77" spans="1:7" s="13" customFormat="1" x14ac:dyDescent="0.25">
      <c r="A77" s="548" t="s">
        <v>82</v>
      </c>
      <c r="B77" s="549"/>
      <c r="C77" s="549"/>
      <c r="D77" s="550"/>
      <c r="E77" s="30"/>
      <c r="F77" s="420">
        <f>1010*('PPI Adj'!D6)</f>
        <v>1178.67</v>
      </c>
      <c r="G77" s="30"/>
    </row>
    <row r="78" spans="1:7" s="13" customFormat="1" x14ac:dyDescent="0.25">
      <c r="A78" s="548" t="s">
        <v>83</v>
      </c>
      <c r="B78" s="549"/>
      <c r="C78" s="549"/>
      <c r="D78" s="550"/>
      <c r="E78" s="30"/>
      <c r="F78" s="420">
        <f>-1010*('PPI Adj'!D6)</f>
        <v>-1178.67</v>
      </c>
      <c r="G78" s="30"/>
    </row>
    <row r="79" spans="1:7" s="13" customFormat="1" x14ac:dyDescent="0.25">
      <c r="A79" s="551" t="s">
        <v>34</v>
      </c>
      <c r="B79" s="552"/>
      <c r="C79" s="552"/>
      <c r="D79" s="553"/>
      <c r="E79" s="29"/>
      <c r="F79" s="421">
        <f>532*('PPI Adj'!D6)</f>
        <v>620.84400000000005</v>
      </c>
      <c r="G79" s="29"/>
    </row>
    <row r="80" spans="1:7" s="13" customFormat="1" x14ac:dyDescent="0.25">
      <c r="A80" s="551" t="s">
        <v>35</v>
      </c>
      <c r="B80" s="552"/>
      <c r="C80" s="552"/>
      <c r="D80" s="553"/>
      <c r="E80" s="30"/>
      <c r="F80" s="421">
        <f>261*('PPI Adj'!D6)</f>
        <v>304.58699999999999</v>
      </c>
      <c r="G80" s="30"/>
    </row>
    <row r="81" spans="1:7" s="13" customFormat="1" x14ac:dyDescent="0.25">
      <c r="A81" s="551" t="s">
        <v>36</v>
      </c>
      <c r="B81" s="552"/>
      <c r="C81" s="552"/>
      <c r="D81" s="553"/>
      <c r="E81" s="29"/>
      <c r="F81" s="421">
        <f>290*('PPI Adj'!D6)</f>
        <v>338.43</v>
      </c>
      <c r="G81" s="29"/>
    </row>
    <row r="82" spans="1:7" s="13" customFormat="1" x14ac:dyDescent="0.25">
      <c r="A82" s="551" t="s">
        <v>60</v>
      </c>
      <c r="B82" s="552"/>
      <c r="C82" s="552"/>
      <c r="D82" s="553"/>
      <c r="E82" s="29"/>
      <c r="F82" s="421">
        <f>544*('PPI Adj'!D6)</f>
        <v>634.84800000000007</v>
      </c>
      <c r="G82" s="29"/>
    </row>
    <row r="83" spans="1:7" s="13" customFormat="1" x14ac:dyDescent="0.25">
      <c r="A83" s="551" t="s">
        <v>61</v>
      </c>
      <c r="B83" s="552"/>
      <c r="C83" s="552"/>
      <c r="D83" s="553"/>
      <c r="E83" s="29"/>
      <c r="F83" s="421">
        <f>1053*('PPI Adj'!D6)</f>
        <v>1228.8510000000001</v>
      </c>
      <c r="G83" s="29"/>
    </row>
    <row r="84" spans="1:7" s="13" customFormat="1" x14ac:dyDescent="0.25">
      <c r="A84" s="551" t="s">
        <v>86</v>
      </c>
      <c r="B84" s="552"/>
      <c r="C84" s="552"/>
      <c r="D84" s="553"/>
      <c r="E84" s="29"/>
      <c r="F84" s="421">
        <f>856*('PPI Adj'!D6)</f>
        <v>998.952</v>
      </c>
      <c r="G84" s="29"/>
    </row>
    <row r="85" spans="1:7" x14ac:dyDescent="0.2">
      <c r="A85" s="551" t="s">
        <v>85</v>
      </c>
      <c r="B85" s="552"/>
      <c r="C85" s="552"/>
      <c r="D85" s="553"/>
      <c r="E85" s="29"/>
      <c r="F85" s="421" t="s">
        <v>181</v>
      </c>
      <c r="G85" s="29"/>
    </row>
    <row r="86" spans="1:7" x14ac:dyDescent="0.2">
      <c r="A86" s="551" t="s">
        <v>13</v>
      </c>
      <c r="B86" s="552"/>
      <c r="C86" s="552"/>
      <c r="D86" s="553"/>
      <c r="E86" s="29"/>
      <c r="F86" s="421">
        <f>10801*('PPI Adj'!D6)</f>
        <v>12604.767</v>
      </c>
      <c r="G86" s="29"/>
    </row>
    <row r="87" spans="1:7" x14ac:dyDescent="0.2">
      <c r="A87" s="551" t="s">
        <v>38</v>
      </c>
      <c r="B87" s="552"/>
      <c r="C87" s="552"/>
      <c r="D87" s="553"/>
      <c r="E87" s="30"/>
      <c r="F87" s="421">
        <f>662*('PPI Adj'!D6)</f>
        <v>772.55399999999997</v>
      </c>
      <c r="G87" s="30"/>
    </row>
    <row r="88" spans="1:7" x14ac:dyDescent="0.2">
      <c r="A88" s="551" t="s">
        <v>39</v>
      </c>
      <c r="B88" s="552"/>
      <c r="C88" s="552"/>
      <c r="D88" s="553"/>
      <c r="E88" s="29"/>
      <c r="F88" s="421">
        <f>882*('PPI Adj'!D6)</f>
        <v>1029.2940000000001</v>
      </c>
      <c r="G88" s="29"/>
    </row>
    <row r="89" spans="1:7" x14ac:dyDescent="0.2">
      <c r="A89" s="551" t="s">
        <v>90</v>
      </c>
      <c r="B89" s="552"/>
      <c r="C89" s="552"/>
      <c r="D89" s="553"/>
      <c r="E89" s="30"/>
      <c r="F89" s="421">
        <f>394.87*('PPI Adj'!D6)</f>
        <v>460.81328999999999</v>
      </c>
      <c r="G89" s="30"/>
    </row>
    <row r="90" spans="1:7" ht="14.1" customHeight="1" x14ac:dyDescent="0.2">
      <c r="A90" s="551" t="s">
        <v>88</v>
      </c>
      <c r="B90" s="552"/>
      <c r="C90" s="552"/>
      <c r="D90" s="553"/>
      <c r="E90" s="29"/>
      <c r="F90" s="421" t="s">
        <v>181</v>
      </c>
      <c r="G90" s="29"/>
    </row>
    <row r="91" spans="1:7" x14ac:dyDescent="0.2">
      <c r="A91" s="551" t="s">
        <v>40</v>
      </c>
      <c r="B91" s="552"/>
      <c r="C91" s="552"/>
      <c r="D91" s="553"/>
      <c r="E91" s="29"/>
      <c r="F91" s="421">
        <f>204*('PPI Adj'!D6)</f>
        <v>238.06800000000001</v>
      </c>
      <c r="G91" s="29"/>
    </row>
    <row r="92" spans="1:7" x14ac:dyDescent="0.2">
      <c r="A92" s="551" t="s">
        <v>14</v>
      </c>
      <c r="B92" s="552"/>
      <c r="C92" s="552"/>
      <c r="D92" s="553"/>
      <c r="E92" s="29"/>
      <c r="F92" s="421">
        <f>6200*('PPI Adj'!D6)</f>
        <v>7235.4000000000005</v>
      </c>
      <c r="G92" s="29"/>
    </row>
    <row r="93" spans="1:7" x14ac:dyDescent="0.2">
      <c r="A93" s="551" t="s">
        <v>91</v>
      </c>
      <c r="B93" s="552"/>
      <c r="C93" s="552"/>
      <c r="D93" s="553"/>
      <c r="E93" s="29"/>
      <c r="F93" s="421">
        <f>1971*('PPI Adj'!D6)</f>
        <v>2300.1570000000002</v>
      </c>
      <c r="G93" s="29"/>
    </row>
    <row r="94" spans="1:7" x14ac:dyDescent="0.2">
      <c r="A94" s="557" t="s">
        <v>272</v>
      </c>
      <c r="B94" s="558"/>
      <c r="C94" s="558"/>
      <c r="D94" s="559"/>
      <c r="E94" s="29"/>
      <c r="F94" s="422">
        <f>-1036*('PPI Adj'!D6)</f>
        <v>-1209.0119999999999</v>
      </c>
      <c r="G94" s="29"/>
    </row>
    <row r="95" spans="1:7" ht="14.1" customHeight="1" thickBot="1" x14ac:dyDescent="0.25">
      <c r="A95" s="554" t="s">
        <v>92</v>
      </c>
      <c r="B95" s="555"/>
      <c r="C95" s="555"/>
      <c r="D95" s="556"/>
      <c r="E95" s="30"/>
      <c r="F95" s="423">
        <f>-2023*('PPI Adj'!D6)</f>
        <v>-2360.8409999999999</v>
      </c>
      <c r="G95" s="30"/>
    </row>
    <row r="96" spans="1:7" ht="13.5" thickBot="1" x14ac:dyDescent="0.25"/>
    <row r="97" spans="1:7" s="16" customFormat="1" ht="32.25" thickBot="1" x14ac:dyDescent="0.3">
      <c r="A97" s="536" t="s">
        <v>166</v>
      </c>
      <c r="B97" s="537"/>
      <c r="C97" s="537"/>
      <c r="D97" s="538"/>
      <c r="E97" s="33"/>
      <c r="F97" s="414" t="s">
        <v>330</v>
      </c>
      <c r="G97" s="33"/>
    </row>
    <row r="98" spans="1:7" s="3" customFormat="1" ht="15" customHeight="1" thickBot="1" x14ac:dyDescent="0.3">
      <c r="A98" s="49" t="s">
        <v>33</v>
      </c>
      <c r="B98" s="19" t="s">
        <v>7</v>
      </c>
      <c r="C98" s="560" t="s">
        <v>165</v>
      </c>
      <c r="D98" s="561"/>
      <c r="E98" s="34"/>
      <c r="F98" s="415" t="s">
        <v>17</v>
      </c>
      <c r="G98" s="34"/>
    </row>
    <row r="99" spans="1:7" s="13" customFormat="1" ht="28.5" customHeight="1" thickBot="1" x14ac:dyDescent="0.3">
      <c r="A99" s="50" t="s">
        <v>82</v>
      </c>
      <c r="B99" s="15" t="s">
        <v>130</v>
      </c>
      <c r="C99" s="562"/>
      <c r="D99" s="563"/>
      <c r="E99" s="30"/>
      <c r="F99" s="373"/>
      <c r="G99" s="30"/>
    </row>
    <row r="100" spans="1:7" s="13" customFormat="1" ht="41.1" customHeight="1" thickBot="1" x14ac:dyDescent="0.3">
      <c r="A100" s="50" t="s">
        <v>83</v>
      </c>
      <c r="B100" s="18" t="s">
        <v>146</v>
      </c>
      <c r="C100" s="562"/>
      <c r="D100" s="563"/>
      <c r="E100" s="30"/>
      <c r="F100" s="373"/>
      <c r="G100" s="30"/>
    </row>
    <row r="101" spans="1:7" s="13" customFormat="1" ht="28.5" customHeight="1" thickBot="1" x14ac:dyDescent="0.3">
      <c r="A101" s="47" t="s">
        <v>34</v>
      </c>
      <c r="B101" s="25" t="s">
        <v>107</v>
      </c>
      <c r="C101" s="543" t="s">
        <v>30</v>
      </c>
      <c r="D101" s="544"/>
      <c r="E101" s="29"/>
      <c r="F101" s="373" t="s">
        <v>349</v>
      </c>
      <c r="G101" s="29"/>
    </row>
    <row r="102" spans="1:7" s="13" customFormat="1" ht="53.45" customHeight="1" thickBot="1" x14ac:dyDescent="0.3">
      <c r="A102" s="47" t="s">
        <v>35</v>
      </c>
      <c r="B102" s="25" t="s">
        <v>97</v>
      </c>
      <c r="C102" s="531"/>
      <c r="D102" s="532"/>
      <c r="E102" s="30"/>
      <c r="F102" s="367"/>
      <c r="G102" s="30"/>
    </row>
    <row r="103" spans="1:7" s="13" customFormat="1" ht="30.6" customHeight="1" thickBot="1" x14ac:dyDescent="0.3">
      <c r="A103" s="47" t="s">
        <v>36</v>
      </c>
      <c r="B103" s="25" t="s">
        <v>84</v>
      </c>
      <c r="C103" s="543" t="s">
        <v>99</v>
      </c>
      <c r="D103" s="544"/>
      <c r="E103" s="29"/>
      <c r="F103" s="373" t="s">
        <v>350</v>
      </c>
      <c r="G103" s="29"/>
    </row>
    <row r="104" spans="1:7" s="13" customFormat="1" ht="12.75" customHeight="1" x14ac:dyDescent="0.25">
      <c r="A104" s="517" t="s">
        <v>60</v>
      </c>
      <c r="B104" s="519" t="s">
        <v>127</v>
      </c>
      <c r="C104" s="521" t="s">
        <v>176</v>
      </c>
      <c r="D104" s="522"/>
      <c r="E104" s="29"/>
      <c r="F104" s="367" t="s">
        <v>337</v>
      </c>
      <c r="G104" s="29"/>
    </row>
    <row r="105" spans="1:7" s="13" customFormat="1" ht="12.75" customHeight="1" x14ac:dyDescent="0.25">
      <c r="A105" s="525"/>
      <c r="B105" s="526"/>
      <c r="C105" s="527" t="s">
        <v>177</v>
      </c>
      <c r="D105" s="528"/>
      <c r="E105" s="29"/>
      <c r="F105" s="334" t="s">
        <v>351</v>
      </c>
      <c r="G105" s="29"/>
    </row>
    <row r="106" spans="1:7" s="13" customFormat="1" ht="12.75" customHeight="1" x14ac:dyDescent="0.25">
      <c r="A106" s="525"/>
      <c r="B106" s="526"/>
      <c r="C106" s="527" t="s">
        <v>114</v>
      </c>
      <c r="D106" s="528"/>
      <c r="E106" s="29"/>
      <c r="F106" s="334" t="s">
        <v>352</v>
      </c>
      <c r="G106" s="29"/>
    </row>
    <row r="107" spans="1:7" s="13" customFormat="1" ht="13.5" thickBot="1" x14ac:dyDescent="0.3">
      <c r="A107" s="518"/>
      <c r="B107" s="520"/>
      <c r="C107" s="515" t="s">
        <v>115</v>
      </c>
      <c r="D107" s="516"/>
      <c r="E107" s="29"/>
      <c r="F107" s="343" t="s">
        <v>353</v>
      </c>
      <c r="G107" s="29"/>
    </row>
    <row r="108" spans="1:7" s="13" customFormat="1" ht="12.75" customHeight="1" x14ac:dyDescent="0.25">
      <c r="A108" s="517" t="s">
        <v>61</v>
      </c>
      <c r="B108" s="519" t="s">
        <v>128</v>
      </c>
      <c r="C108" s="521" t="s">
        <v>174</v>
      </c>
      <c r="D108" s="522"/>
      <c r="E108" s="29"/>
      <c r="F108" s="367" t="s">
        <v>337</v>
      </c>
      <c r="G108" s="29"/>
    </row>
    <row r="109" spans="1:7" s="13" customFormat="1" ht="12.75" customHeight="1" x14ac:dyDescent="0.25">
      <c r="A109" s="525"/>
      <c r="B109" s="526"/>
      <c r="C109" s="527" t="s">
        <v>175</v>
      </c>
      <c r="D109" s="528"/>
      <c r="E109" s="29"/>
      <c r="F109" s="419" t="s">
        <v>354</v>
      </c>
      <c r="G109" s="29"/>
    </row>
    <row r="110" spans="1:7" s="13" customFormat="1" ht="12.75" customHeight="1" x14ac:dyDescent="0.25">
      <c r="A110" s="525"/>
      <c r="B110" s="526"/>
      <c r="C110" s="527" t="s">
        <v>176</v>
      </c>
      <c r="D110" s="528"/>
      <c r="E110" s="29"/>
      <c r="F110" s="419" t="s">
        <v>337</v>
      </c>
      <c r="G110" s="29"/>
    </row>
    <row r="111" spans="1:7" s="13" customFormat="1" ht="12.75" customHeight="1" x14ac:dyDescent="0.25">
      <c r="A111" s="525"/>
      <c r="B111" s="526"/>
      <c r="C111" s="527" t="s">
        <v>177</v>
      </c>
      <c r="D111" s="528"/>
      <c r="E111" s="29"/>
      <c r="F111" s="334" t="s">
        <v>351</v>
      </c>
      <c r="G111" s="29"/>
    </row>
    <row r="112" spans="1:7" s="13" customFormat="1" ht="12.75" customHeight="1" x14ac:dyDescent="0.25">
      <c r="A112" s="525"/>
      <c r="B112" s="526"/>
      <c r="C112" s="527" t="s">
        <v>112</v>
      </c>
      <c r="D112" s="528"/>
      <c r="E112" s="29"/>
      <c r="F112" s="334" t="s">
        <v>355</v>
      </c>
      <c r="G112" s="29"/>
    </row>
    <row r="113" spans="1:7" s="13" customFormat="1" x14ac:dyDescent="0.25">
      <c r="A113" s="525"/>
      <c r="B113" s="526"/>
      <c r="C113" s="527" t="s">
        <v>113</v>
      </c>
      <c r="D113" s="528"/>
      <c r="E113" s="29"/>
      <c r="F113" s="419" t="s">
        <v>356</v>
      </c>
      <c r="G113" s="29"/>
    </row>
    <row r="114" spans="1:7" s="13" customFormat="1" ht="12.75" customHeight="1" x14ac:dyDescent="0.25">
      <c r="A114" s="525"/>
      <c r="B114" s="526"/>
      <c r="C114" s="527" t="s">
        <v>114</v>
      </c>
      <c r="D114" s="528"/>
      <c r="E114" s="29"/>
      <c r="F114" s="419" t="s">
        <v>355</v>
      </c>
      <c r="G114" s="29"/>
    </row>
    <row r="115" spans="1:7" s="13" customFormat="1" ht="13.5" thickBot="1" x14ac:dyDescent="0.3">
      <c r="A115" s="518"/>
      <c r="B115" s="520"/>
      <c r="C115" s="515" t="s">
        <v>115</v>
      </c>
      <c r="D115" s="516"/>
      <c r="E115" s="29"/>
      <c r="F115" s="343" t="s">
        <v>356</v>
      </c>
      <c r="G115" s="29"/>
    </row>
    <row r="116" spans="1:7" s="13" customFormat="1" ht="144" customHeight="1" thickBot="1" x14ac:dyDescent="0.3">
      <c r="A116" s="51" t="s">
        <v>86</v>
      </c>
      <c r="B116" s="17" t="s">
        <v>143</v>
      </c>
      <c r="C116" s="543" t="s">
        <v>104</v>
      </c>
      <c r="D116" s="544"/>
      <c r="E116" s="29"/>
      <c r="F116" s="367" t="s">
        <v>357</v>
      </c>
      <c r="G116" s="29"/>
    </row>
    <row r="117" spans="1:7" ht="170.1" customHeight="1" thickBot="1" x14ac:dyDescent="0.25">
      <c r="A117" s="47" t="s">
        <v>85</v>
      </c>
      <c r="B117" s="14" t="s">
        <v>170</v>
      </c>
      <c r="C117" s="543" t="s">
        <v>104</v>
      </c>
      <c r="D117" s="544"/>
      <c r="E117" s="29"/>
      <c r="F117" s="373" t="s">
        <v>181</v>
      </c>
      <c r="G117" s="29"/>
    </row>
    <row r="118" spans="1:7" x14ac:dyDescent="0.2">
      <c r="A118" s="517" t="s">
        <v>13</v>
      </c>
      <c r="B118" s="519" t="s">
        <v>98</v>
      </c>
      <c r="C118" s="521" t="s">
        <v>30</v>
      </c>
      <c r="D118" s="522"/>
      <c r="E118" s="29"/>
      <c r="F118" s="367" t="s">
        <v>358</v>
      </c>
      <c r="G118" s="29"/>
    </row>
    <row r="119" spans="1:7" ht="27.6" customHeight="1" thickBot="1" x14ac:dyDescent="0.25">
      <c r="A119" s="518"/>
      <c r="B119" s="520"/>
      <c r="C119" s="515" t="s">
        <v>109</v>
      </c>
      <c r="D119" s="516"/>
      <c r="E119" s="29"/>
      <c r="F119" s="343" t="s">
        <v>359</v>
      </c>
      <c r="G119" s="29"/>
    </row>
    <row r="120" spans="1:7" ht="42.6" customHeight="1" thickBot="1" x14ac:dyDescent="0.25">
      <c r="A120" s="47" t="s">
        <v>38</v>
      </c>
      <c r="B120" s="25" t="s">
        <v>87</v>
      </c>
      <c r="C120" s="531"/>
      <c r="D120" s="532"/>
      <c r="E120" s="30"/>
      <c r="F120" s="373"/>
      <c r="G120" s="30"/>
    </row>
    <row r="121" spans="1:7" ht="28.5" customHeight="1" thickBot="1" x14ac:dyDescent="0.25">
      <c r="A121" s="47" t="s">
        <v>39</v>
      </c>
      <c r="B121" s="25" t="s">
        <v>106</v>
      </c>
      <c r="C121" s="543" t="s">
        <v>105</v>
      </c>
      <c r="D121" s="544"/>
      <c r="E121" s="29"/>
      <c r="F121" s="373" t="s">
        <v>184</v>
      </c>
      <c r="G121" s="29"/>
    </row>
    <row r="122" spans="1:7" ht="41.1" customHeight="1" thickBot="1" x14ac:dyDescent="0.25">
      <c r="A122" s="47" t="s">
        <v>90</v>
      </c>
      <c r="B122" s="25" t="s">
        <v>129</v>
      </c>
      <c r="C122" s="531"/>
      <c r="D122" s="532"/>
      <c r="E122" s="30"/>
      <c r="F122" s="373"/>
      <c r="G122" s="30"/>
    </row>
    <row r="123" spans="1:7" x14ac:dyDescent="0.2">
      <c r="A123" s="517" t="s">
        <v>88</v>
      </c>
      <c r="B123" s="519" t="s">
        <v>148</v>
      </c>
      <c r="C123" s="521" t="s">
        <v>100</v>
      </c>
      <c r="D123" s="522"/>
      <c r="E123" s="29"/>
      <c r="F123" s="367" t="s">
        <v>181</v>
      </c>
      <c r="G123" s="29"/>
    </row>
    <row r="124" spans="1:7" ht="102.6" customHeight="1" thickBot="1" x14ac:dyDescent="0.25">
      <c r="A124" s="518"/>
      <c r="B124" s="520"/>
      <c r="C124" s="515" t="s">
        <v>110</v>
      </c>
      <c r="D124" s="516"/>
      <c r="E124" s="29"/>
      <c r="F124" s="424"/>
      <c r="G124" s="29"/>
    </row>
    <row r="125" spans="1:7" ht="26.25" thickBot="1" x14ac:dyDescent="0.25">
      <c r="A125" s="47" t="s">
        <v>40</v>
      </c>
      <c r="B125" s="25" t="s">
        <v>137</v>
      </c>
      <c r="C125" s="543" t="s">
        <v>100</v>
      </c>
      <c r="D125" s="544"/>
      <c r="E125" s="29"/>
      <c r="F125" s="343" t="s">
        <v>360</v>
      </c>
      <c r="G125" s="29"/>
    </row>
    <row r="126" spans="1:7" ht="51.95" customHeight="1" thickBot="1" x14ac:dyDescent="0.25">
      <c r="A126" s="47" t="s">
        <v>14</v>
      </c>
      <c r="B126" s="25" t="s">
        <v>138</v>
      </c>
      <c r="C126" s="543" t="s">
        <v>139</v>
      </c>
      <c r="D126" s="544"/>
      <c r="E126" s="29"/>
      <c r="F126" s="373">
        <v>2</v>
      </c>
      <c r="G126" s="29"/>
    </row>
    <row r="127" spans="1:7" ht="64.5" customHeight="1" thickBot="1" x14ac:dyDescent="0.25">
      <c r="A127" s="47" t="s">
        <v>91</v>
      </c>
      <c r="B127" s="25" t="s">
        <v>144</v>
      </c>
      <c r="C127" s="543" t="s">
        <v>100</v>
      </c>
      <c r="D127" s="544"/>
      <c r="E127" s="29"/>
      <c r="F127" s="373" t="s">
        <v>361</v>
      </c>
      <c r="G127" s="29"/>
    </row>
    <row r="128" spans="1:7" ht="64.5" customHeight="1" thickBot="1" x14ac:dyDescent="0.25">
      <c r="A128" s="47" t="s">
        <v>92</v>
      </c>
      <c r="B128" s="25" t="s">
        <v>145</v>
      </c>
      <c r="C128" s="531"/>
      <c r="D128" s="532"/>
      <c r="E128" s="30"/>
      <c r="F128" s="373"/>
      <c r="G128" s="30"/>
    </row>
  </sheetData>
  <sheetProtection algorithmName="SHA-512" hashValue="gKb+9WTA/pRWJCjcKTDZHknpacD4QY5Hv3jjs8sXT0Y45k+ydKTjt5ru+SkLq8M6Pna2Hcy6xF/5UDzwY4VNog==" saltValue="QlMTSeJ5SGh7o6XNbPa5VQ==" spinCount="100000" sheet="1" objects="1" scenarios="1"/>
  <dataConsolidate/>
  <mergeCells count="143">
    <mergeCell ref="C128:D128"/>
    <mergeCell ref="A77:D77"/>
    <mergeCell ref="C99:D99"/>
    <mergeCell ref="C120:D120"/>
    <mergeCell ref="C121:D121"/>
    <mergeCell ref="C122:D122"/>
    <mergeCell ref="A123:A124"/>
    <mergeCell ref="B123:B124"/>
    <mergeCell ref="C123:D123"/>
    <mergeCell ref="C124:D124"/>
    <mergeCell ref="C115:D115"/>
    <mergeCell ref="C116:D116"/>
    <mergeCell ref="C117:D117"/>
    <mergeCell ref="C125:D125"/>
    <mergeCell ref="C126:D126"/>
    <mergeCell ref="C127:D127"/>
    <mergeCell ref="A118:A119"/>
    <mergeCell ref="B118:B119"/>
    <mergeCell ref="C118:D118"/>
    <mergeCell ref="C119:D119"/>
    <mergeCell ref="C107:D107"/>
    <mergeCell ref="A108:A115"/>
    <mergeCell ref="B108:B115"/>
    <mergeCell ref="C108:D108"/>
    <mergeCell ref="C110:D110"/>
    <mergeCell ref="C111:D111"/>
    <mergeCell ref="C112:D112"/>
    <mergeCell ref="C113:D113"/>
    <mergeCell ref="C114:D114"/>
    <mergeCell ref="C98:D98"/>
    <mergeCell ref="C100:D100"/>
    <mergeCell ref="C101:D101"/>
    <mergeCell ref="C102:D102"/>
    <mergeCell ref="C103:D103"/>
    <mergeCell ref="C109:D109"/>
    <mergeCell ref="A91:D91"/>
    <mergeCell ref="A92:D92"/>
    <mergeCell ref="A104:A107"/>
    <mergeCell ref="B104:B107"/>
    <mergeCell ref="C104:D104"/>
    <mergeCell ref="C105:D105"/>
    <mergeCell ref="C106:D106"/>
    <mergeCell ref="A93:D93"/>
    <mergeCell ref="A95:D95"/>
    <mergeCell ref="A97:D97"/>
    <mergeCell ref="A94:D94"/>
    <mergeCell ref="A82:D82"/>
    <mergeCell ref="A83:D83"/>
    <mergeCell ref="A84:D84"/>
    <mergeCell ref="A85:D85"/>
    <mergeCell ref="A86:D86"/>
    <mergeCell ref="A87:D87"/>
    <mergeCell ref="A88:D88"/>
    <mergeCell ref="A89:D89"/>
    <mergeCell ref="A90:D90"/>
    <mergeCell ref="A78:D78"/>
    <mergeCell ref="A79:D79"/>
    <mergeCell ref="A80:D80"/>
    <mergeCell ref="C70:D70"/>
    <mergeCell ref="C71:D71"/>
    <mergeCell ref="C72:D72"/>
    <mergeCell ref="C73:D73"/>
    <mergeCell ref="A75:D75"/>
    <mergeCell ref="A81:D81"/>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C30:D30"/>
    <mergeCell ref="B23:D23"/>
    <mergeCell ref="A25:D25"/>
    <mergeCell ref="A36:A37"/>
    <mergeCell ref="B36:B37"/>
    <mergeCell ref="C36:D36"/>
    <mergeCell ref="C37:D37"/>
    <mergeCell ref="C35:D35"/>
    <mergeCell ref="C26:D26"/>
    <mergeCell ref="A38:A39"/>
    <mergeCell ref="B38:B39"/>
    <mergeCell ref="C38:D38"/>
    <mergeCell ref="C39:D39"/>
    <mergeCell ref="A31:A35"/>
    <mergeCell ref="B31:B35"/>
    <mergeCell ref="C31:D31"/>
    <mergeCell ref="C32:D32"/>
    <mergeCell ref="C33:D33"/>
    <mergeCell ref="C34:D34"/>
    <mergeCell ref="B17:D17"/>
    <mergeCell ref="B21:D21"/>
    <mergeCell ref="B22:D22"/>
    <mergeCell ref="A19:D19"/>
    <mergeCell ref="C27:D27"/>
    <mergeCell ref="A28:A29"/>
    <mergeCell ref="B28:B29"/>
    <mergeCell ref="C28:D28"/>
    <mergeCell ref="C29:D29"/>
    <mergeCell ref="B14:D14"/>
    <mergeCell ref="B15:D15"/>
    <mergeCell ref="B16:D16"/>
    <mergeCell ref="B8:D8"/>
    <mergeCell ref="B9:D9"/>
    <mergeCell ref="B10:D10"/>
    <mergeCell ref="B11:D11"/>
    <mergeCell ref="A3:D3"/>
    <mergeCell ref="A4:D4"/>
    <mergeCell ref="A6:D6"/>
    <mergeCell ref="B12:D12"/>
    <mergeCell ref="B13:D13"/>
  </mergeCells>
  <conditionalFormatting sqref="C52 C60">
    <cfRule type="expression" dxfId="185" priority="43">
      <formula>#REF!="NO"</formula>
    </cfRule>
  </conditionalFormatting>
  <conditionalFormatting sqref="C27:G73">
    <cfRule type="expression" dxfId="184" priority="6">
      <formula>#REF!="NO"</formula>
    </cfRule>
  </conditionalFormatting>
  <conditionalFormatting sqref="C99:G128">
    <cfRule type="expression" dxfId="183" priority="1">
      <formula>#REF!="NO"</formula>
    </cfRule>
  </conditionalFormatting>
  <conditionalFormatting sqref="E77:G95">
    <cfRule type="expression" dxfId="182" priority="2">
      <formula>#REF!="NO"</formula>
    </cfRule>
  </conditionalFormatting>
  <conditionalFormatting sqref="F8:F17">
    <cfRule type="expression" dxfId="181" priority="25">
      <formula>#REF!="NO"</formula>
    </cfRule>
  </conditionalFormatting>
  <conditionalFormatting sqref="F21:F23">
    <cfRule type="expression" dxfId="180" priority="39">
      <formula>#REF!="NO"</formula>
    </cfRule>
  </conditionalFormatting>
  <dataValidations count="3">
    <dataValidation type="decimal" allowBlank="1" showInputMessage="1" showErrorMessage="1" error="The Additional Options NYS Discount entered must be greater than 0%, or less than or equal to 100%." sqref="F23" xr:uid="{00000000-0002-0000-0100-000002000000}">
      <formula1>0.01</formula1>
      <formula2>100</formula2>
    </dataValidation>
    <dataValidation type="decimal" allowBlank="1" showInputMessage="1" showErrorMessage="1" error="Invalid Entry - Bidder must enter a value that is greater than $0" sqref="F21" xr:uid="{DDA97037-C0A7-41BA-995F-96E007FCDFC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93" fitToHeight="0" orientation="landscape" r:id="rId1"/>
  <rowBreaks count="4" manualBreakCount="4">
    <brk id="23" max="16383" man="1"/>
    <brk id="52" max="16383" man="1"/>
    <brk id="95" max="16383" man="1"/>
    <brk id="1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FA1-1506-4870-912D-F2515DF4DE5E}">
  <sheetPr>
    <tabColor rgb="FF7030A0"/>
    <pageSetUpPr autoPageBreaks="0" fitToPage="1"/>
  </sheetPr>
  <dimension ref="A1:G130"/>
  <sheetViews>
    <sheetView showGridLines="0" zoomScaleNormal="100" zoomScaleSheetLayoutView="100" zoomScalePageLayoutView="5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customFormat="1" ht="15" x14ac:dyDescent="0.25">
      <c r="A1" s="300" t="str">
        <f>'A (Item 2-G)'!$A$1</f>
        <v>GROUP 40524-23254, SCHOOL BUSES (Statewide)                                                             Attachment 1 - Specifications and Pricing (Revised October 15, 2026)</v>
      </c>
      <c r="B1" s="2"/>
      <c r="C1" s="2"/>
      <c r="D1" s="2"/>
      <c r="E1" s="2"/>
      <c r="F1" s="412"/>
    </row>
    <row r="2" spans="1:7" customFormat="1" ht="15.75" thickBot="1" x14ac:dyDescent="0.3">
      <c r="A2" s="302" t="str">
        <f>'Attachment 1 - Summary'!B2</f>
        <v>PC69863 Nesco Bus and Truck Sales, Inc.</v>
      </c>
      <c r="B2" s="21"/>
      <c r="C2" s="21"/>
      <c r="D2" s="21"/>
      <c r="F2" s="412"/>
    </row>
    <row r="3" spans="1:7" ht="24" thickBot="1" x14ac:dyDescent="0.25">
      <c r="A3" s="564" t="s">
        <v>122</v>
      </c>
      <c r="B3" s="565"/>
      <c r="C3" s="565"/>
      <c r="D3" s="566"/>
      <c r="E3" s="8"/>
      <c r="F3" s="304"/>
      <c r="G3" s="8"/>
    </row>
    <row r="4" spans="1:7" ht="51" customHeight="1" thickBot="1" x14ac:dyDescent="0.25">
      <c r="A4" s="506" t="s">
        <v>124</v>
      </c>
      <c r="B4" s="507"/>
      <c r="C4" s="507"/>
      <c r="D4" s="508"/>
      <c r="E4" s="8"/>
      <c r="F4" s="304"/>
      <c r="G4" s="8"/>
    </row>
    <row r="5" spans="1:7" s="4" customFormat="1" ht="11.25" customHeight="1" thickBot="1" x14ac:dyDescent="0.3">
      <c r="A5" s="64"/>
      <c r="B5" s="64"/>
      <c r="C5" s="64"/>
      <c r="D5" s="64"/>
      <c r="E5" s="64"/>
      <c r="F5" s="286"/>
    </row>
    <row r="6" spans="1:7" s="7" customFormat="1" ht="16.5" thickBot="1" x14ac:dyDescent="0.25">
      <c r="A6" s="509" t="s">
        <v>151</v>
      </c>
      <c r="B6" s="510"/>
      <c r="C6" s="510"/>
      <c r="D6" s="511"/>
      <c r="E6" s="31"/>
      <c r="F6" s="414" t="s">
        <v>367</v>
      </c>
      <c r="G6" s="31"/>
    </row>
    <row r="7" spans="1:7" s="4" customFormat="1" ht="15" customHeight="1" thickBot="1" x14ac:dyDescent="0.3">
      <c r="A7" s="37" t="s">
        <v>6</v>
      </c>
      <c r="B7" s="22" t="s">
        <v>165</v>
      </c>
      <c r="C7" s="27"/>
      <c r="D7" s="35"/>
      <c r="E7" s="32"/>
      <c r="F7" s="415" t="s">
        <v>17</v>
      </c>
      <c r="G7" s="32"/>
    </row>
    <row r="8" spans="1:7" ht="52.5" thickTop="1" thickBot="1" x14ac:dyDescent="0.25">
      <c r="A8" s="38" t="s">
        <v>9</v>
      </c>
      <c r="B8" s="500" t="s">
        <v>152</v>
      </c>
      <c r="C8" s="501"/>
      <c r="D8" s="502"/>
      <c r="E8" s="13"/>
      <c r="F8" s="324" t="s">
        <v>362</v>
      </c>
      <c r="G8" s="13"/>
    </row>
    <row r="9" spans="1:7" s="7" customFormat="1" ht="39.6" customHeight="1" thickTop="1" thickBot="1" x14ac:dyDescent="0.25">
      <c r="A9" s="38" t="s">
        <v>136</v>
      </c>
      <c r="B9" s="500" t="s">
        <v>191</v>
      </c>
      <c r="C9" s="501"/>
      <c r="D9" s="502"/>
      <c r="E9" s="13"/>
      <c r="F9" s="324" t="s">
        <v>363</v>
      </c>
      <c r="G9" s="13"/>
    </row>
    <row r="10" spans="1:7" ht="12.75" customHeight="1" thickTop="1" x14ac:dyDescent="0.2">
      <c r="A10" s="39" t="s">
        <v>0</v>
      </c>
      <c r="B10" s="491" t="s">
        <v>154</v>
      </c>
      <c r="C10" s="492"/>
      <c r="D10" s="493"/>
      <c r="E10" s="13"/>
      <c r="F10" s="334" t="s">
        <v>180</v>
      </c>
      <c r="G10" s="13"/>
    </row>
    <row r="11" spans="1:7" x14ac:dyDescent="0.2">
      <c r="A11" s="39" t="s">
        <v>1</v>
      </c>
      <c r="B11" s="491" t="s">
        <v>153</v>
      </c>
      <c r="C11" s="492"/>
      <c r="D11" s="493"/>
      <c r="E11" s="13"/>
      <c r="F11" s="334" t="s">
        <v>288</v>
      </c>
      <c r="G11" s="13"/>
    </row>
    <row r="12" spans="1:7" ht="15.6" customHeight="1" thickBot="1" x14ac:dyDescent="0.25">
      <c r="A12" s="40" t="s">
        <v>2</v>
      </c>
      <c r="B12" s="494" t="s">
        <v>155</v>
      </c>
      <c r="C12" s="495"/>
      <c r="D12" s="496"/>
      <c r="E12" s="13"/>
      <c r="F12" s="336" t="s">
        <v>364</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335</v>
      </c>
      <c r="G14" s="13"/>
    </row>
    <row r="15" spans="1:7" ht="15.75" customHeight="1" thickBot="1" x14ac:dyDescent="0.25">
      <c r="A15" s="41" t="s">
        <v>5</v>
      </c>
      <c r="B15" s="494" t="s">
        <v>158</v>
      </c>
      <c r="C15" s="495"/>
      <c r="D15" s="496"/>
      <c r="E15" s="13"/>
      <c r="F15" s="341" t="s">
        <v>365</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16.5" thickBot="1" x14ac:dyDescent="0.25">
      <c r="A19" s="509" t="s">
        <v>150</v>
      </c>
      <c r="B19" s="510"/>
      <c r="C19" s="510"/>
      <c r="D19" s="511"/>
      <c r="E19" s="31"/>
      <c r="F19" s="414" t="s">
        <v>367</v>
      </c>
      <c r="G19" s="31"/>
    </row>
    <row r="20" spans="1:7" s="4" customFormat="1" ht="15" customHeight="1" thickBot="1" x14ac:dyDescent="0.3">
      <c r="A20" s="52" t="s">
        <v>6</v>
      </c>
      <c r="B20" s="26" t="s">
        <v>165</v>
      </c>
      <c r="C20" s="28"/>
      <c r="D20" s="45"/>
      <c r="E20" s="32"/>
      <c r="F20" s="415" t="s">
        <v>17</v>
      </c>
      <c r="G20" s="32"/>
    </row>
    <row r="21" spans="1:7" ht="56.25" customHeight="1" x14ac:dyDescent="0.2">
      <c r="A21" s="42" t="s">
        <v>42</v>
      </c>
      <c r="B21" s="512" t="s">
        <v>161</v>
      </c>
      <c r="C21" s="513"/>
      <c r="D21" s="514"/>
      <c r="E21" s="13"/>
      <c r="F21" s="416">
        <f>76912.31*('PPI Adj'!D6)</f>
        <v>89756.665770000007</v>
      </c>
      <c r="G21" s="13"/>
    </row>
    <row r="22" spans="1:7" ht="42.75" customHeight="1" x14ac:dyDescent="0.2">
      <c r="A22" s="39" t="s">
        <v>20</v>
      </c>
      <c r="B22" s="491" t="s">
        <v>162</v>
      </c>
      <c r="C22" s="492"/>
      <c r="D22" s="493"/>
      <c r="E22" s="13"/>
      <c r="F22" s="416">
        <f>1641*('PPI Adj'!D6)</f>
        <v>1915.047</v>
      </c>
      <c r="G22" s="13"/>
    </row>
    <row r="23" spans="1:7" ht="33" customHeight="1" thickBot="1" x14ac:dyDescent="0.25">
      <c r="A23" s="43" t="s">
        <v>41</v>
      </c>
      <c r="B23" s="533" t="s">
        <v>163</v>
      </c>
      <c r="C23" s="534"/>
      <c r="D23" s="535"/>
      <c r="E23" s="1"/>
      <c r="F23" s="354">
        <v>20</v>
      </c>
      <c r="G23" s="1"/>
    </row>
    <row r="24" spans="1:7" ht="13.5" thickBot="1" x14ac:dyDescent="0.25">
      <c r="A24" s="69"/>
      <c r="B24" s="1"/>
      <c r="C24" s="1"/>
      <c r="D24" s="1"/>
      <c r="E24" s="1"/>
      <c r="F24" s="418"/>
      <c r="G24" s="1"/>
    </row>
    <row r="25" spans="1:7" s="7" customFormat="1" ht="16.5" thickBot="1" x14ac:dyDescent="0.25">
      <c r="A25" s="536" t="s">
        <v>164</v>
      </c>
      <c r="B25" s="537"/>
      <c r="C25" s="537"/>
      <c r="D25" s="538"/>
      <c r="E25" s="33"/>
      <c r="F25" s="414" t="s">
        <v>367</v>
      </c>
      <c r="G25" s="33"/>
    </row>
    <row r="26" spans="1:7" s="3" customFormat="1" ht="15" customHeight="1" thickBot="1" x14ac:dyDescent="0.3">
      <c r="A26" s="52" t="s">
        <v>6</v>
      </c>
      <c r="B26" s="53" t="s">
        <v>7</v>
      </c>
      <c r="C26" s="539" t="s">
        <v>165</v>
      </c>
      <c r="D26" s="540"/>
      <c r="E26" s="34"/>
      <c r="F26" s="415" t="s">
        <v>17</v>
      </c>
      <c r="G26" s="34"/>
    </row>
    <row r="27" spans="1:7" s="13" customFormat="1" ht="39.6" customHeight="1" thickBot="1" x14ac:dyDescent="0.3">
      <c r="A27" s="46" t="s">
        <v>8</v>
      </c>
      <c r="B27" s="24" t="s">
        <v>131</v>
      </c>
      <c r="C27" s="515" t="s">
        <v>118</v>
      </c>
      <c r="D27" s="516"/>
      <c r="E27" s="29"/>
      <c r="F27" s="373">
        <v>11500</v>
      </c>
      <c r="G27" s="29"/>
    </row>
    <row r="28" spans="1:7" s="13" customFormat="1" x14ac:dyDescent="0.25">
      <c r="A28" s="517" t="s">
        <v>21</v>
      </c>
      <c r="B28" s="519" t="s">
        <v>125</v>
      </c>
      <c r="C28" s="521" t="s">
        <v>67</v>
      </c>
      <c r="D28" s="522"/>
      <c r="E28" s="29"/>
      <c r="F28" s="367">
        <v>4</v>
      </c>
      <c r="G28" s="29"/>
    </row>
    <row r="29" spans="1:7" s="13" customFormat="1" ht="14.45" customHeight="1" thickBot="1" x14ac:dyDescent="0.3">
      <c r="A29" s="518"/>
      <c r="B29" s="520"/>
      <c r="C29" s="515" t="s">
        <v>68</v>
      </c>
      <c r="D29" s="516"/>
      <c r="E29" s="29"/>
      <c r="F29" s="343">
        <v>20</v>
      </c>
      <c r="G29" s="29"/>
    </row>
    <row r="30" spans="1:7" s="13" customFormat="1" ht="13.5" thickBot="1" x14ac:dyDescent="0.3">
      <c r="A30" s="47" t="s">
        <v>123</v>
      </c>
      <c r="B30" s="25" t="s">
        <v>108</v>
      </c>
      <c r="C30" s="531"/>
      <c r="D30" s="532"/>
      <c r="E30" s="30"/>
      <c r="F30" s="373"/>
      <c r="G30" s="30"/>
    </row>
    <row r="31" spans="1:7" s="13" customFormat="1" x14ac:dyDescent="0.25">
      <c r="A31" s="517" t="s">
        <v>59</v>
      </c>
      <c r="B31" s="519"/>
      <c r="C31" s="521" t="s">
        <v>58</v>
      </c>
      <c r="D31" s="522"/>
      <c r="E31" s="29"/>
      <c r="F31" s="367">
        <v>138</v>
      </c>
      <c r="G31" s="29"/>
    </row>
    <row r="32" spans="1:7" s="13" customFormat="1" x14ac:dyDescent="0.25">
      <c r="A32" s="525"/>
      <c r="B32" s="526"/>
      <c r="C32" s="527" t="s">
        <v>57</v>
      </c>
      <c r="D32" s="528"/>
      <c r="E32" s="29"/>
      <c r="F32" s="334">
        <v>233</v>
      </c>
      <c r="G32" s="29"/>
    </row>
    <row r="33" spans="1:7" s="13" customFormat="1" x14ac:dyDescent="0.25">
      <c r="A33" s="525"/>
      <c r="B33" s="526"/>
      <c r="C33" s="527" t="s">
        <v>69</v>
      </c>
      <c r="D33" s="528"/>
      <c r="E33" s="29"/>
      <c r="F33" s="334">
        <v>90</v>
      </c>
      <c r="G33" s="29"/>
    </row>
    <row r="34" spans="1:7" s="13" customFormat="1" x14ac:dyDescent="0.25">
      <c r="A34" s="525"/>
      <c r="B34" s="526"/>
      <c r="C34" s="529" t="s">
        <v>70</v>
      </c>
      <c r="D34" s="530"/>
      <c r="E34" s="29"/>
      <c r="F34" s="334">
        <v>73</v>
      </c>
      <c r="G34" s="29"/>
    </row>
    <row r="35" spans="1:7" s="13" customFormat="1" ht="13.5" thickBot="1" x14ac:dyDescent="0.3">
      <c r="A35" s="518"/>
      <c r="B35" s="520"/>
      <c r="C35" s="515" t="s">
        <v>111</v>
      </c>
      <c r="D35" s="516"/>
      <c r="E35" s="29"/>
      <c r="F35" s="343">
        <v>74.599999999999994</v>
      </c>
      <c r="G35" s="29"/>
    </row>
    <row r="36" spans="1:7" s="13" customFormat="1" x14ac:dyDescent="0.25">
      <c r="A36" s="517" t="s">
        <v>11</v>
      </c>
      <c r="B36" s="519"/>
      <c r="C36" s="521" t="s">
        <v>24</v>
      </c>
      <c r="D36" s="522"/>
      <c r="E36" s="29"/>
      <c r="F36" s="367">
        <v>4600</v>
      </c>
      <c r="G36" s="29"/>
    </row>
    <row r="37" spans="1:7" s="13" customFormat="1" ht="13.5" thickBot="1" x14ac:dyDescent="0.3">
      <c r="A37" s="518"/>
      <c r="B37" s="520"/>
      <c r="C37" s="515" t="s">
        <v>22</v>
      </c>
      <c r="D37" s="516"/>
      <c r="E37" s="29"/>
      <c r="F37" s="343">
        <v>5000</v>
      </c>
      <c r="G37" s="29"/>
    </row>
    <row r="38" spans="1:7" s="13" customFormat="1" ht="13.5" customHeight="1" x14ac:dyDescent="0.25">
      <c r="A38" s="517" t="s">
        <v>16</v>
      </c>
      <c r="B38" s="519"/>
      <c r="C38" s="521" t="s">
        <v>24</v>
      </c>
      <c r="D38" s="522"/>
      <c r="E38" s="29"/>
      <c r="F38" s="367">
        <v>7800</v>
      </c>
      <c r="G38" s="29"/>
    </row>
    <row r="39" spans="1:7" s="13" customFormat="1" ht="15.95" customHeight="1" thickBot="1" x14ac:dyDescent="0.3">
      <c r="A39" s="518"/>
      <c r="B39" s="520"/>
      <c r="C39" s="523" t="s">
        <v>23</v>
      </c>
      <c r="D39" s="524"/>
      <c r="E39" s="29"/>
      <c r="F39" s="343">
        <v>7800</v>
      </c>
      <c r="G39" s="29"/>
    </row>
    <row r="40" spans="1:7" s="13" customFormat="1" ht="18.600000000000001" customHeight="1" thickBot="1" x14ac:dyDescent="0.3">
      <c r="A40" s="47" t="s">
        <v>52</v>
      </c>
      <c r="B40" s="25" t="s">
        <v>53</v>
      </c>
      <c r="C40" s="531"/>
      <c r="D40" s="532"/>
      <c r="E40" s="30"/>
      <c r="F40" s="373"/>
      <c r="G40" s="30"/>
    </row>
    <row r="41" spans="1:7" s="13" customFormat="1" ht="13.5" customHeight="1" thickBot="1" x14ac:dyDescent="0.3">
      <c r="A41" s="541" t="s">
        <v>12</v>
      </c>
      <c r="B41" s="542" t="s">
        <v>142</v>
      </c>
      <c r="C41" s="521" t="s">
        <v>174</v>
      </c>
      <c r="D41" s="522"/>
      <c r="E41" s="29"/>
      <c r="F41" s="367" t="s">
        <v>368</v>
      </c>
      <c r="G41" s="29"/>
    </row>
    <row r="42" spans="1:7" s="13" customFormat="1" ht="13.5" customHeight="1" thickBot="1" x14ac:dyDescent="0.3">
      <c r="A42" s="541"/>
      <c r="B42" s="542"/>
      <c r="C42" s="527" t="s">
        <v>175</v>
      </c>
      <c r="D42" s="528"/>
      <c r="E42" s="29"/>
      <c r="F42" s="334">
        <v>2680</v>
      </c>
      <c r="G42" s="29"/>
    </row>
    <row r="43" spans="1:7" s="13" customFormat="1" ht="13.5" customHeight="1" thickBot="1" x14ac:dyDescent="0.3">
      <c r="A43" s="541"/>
      <c r="B43" s="542"/>
      <c r="C43" s="527" t="s">
        <v>176</v>
      </c>
      <c r="D43" s="528"/>
      <c r="E43" s="29"/>
      <c r="F43" s="419" t="s">
        <v>368</v>
      </c>
      <c r="G43" s="29"/>
    </row>
    <row r="44" spans="1:7" s="13" customFormat="1" ht="13.5" customHeight="1" thickBot="1" x14ac:dyDescent="0.3">
      <c r="A44" s="541"/>
      <c r="B44" s="542"/>
      <c r="C44" s="527" t="s">
        <v>177</v>
      </c>
      <c r="D44" s="528"/>
      <c r="E44" s="29"/>
      <c r="F44" s="334">
        <v>2470</v>
      </c>
      <c r="G44" s="29"/>
    </row>
    <row r="45" spans="1:7" s="13" customFormat="1" ht="13.5" customHeight="1" thickBot="1" x14ac:dyDescent="0.3">
      <c r="A45" s="541"/>
      <c r="B45" s="542"/>
      <c r="C45" s="527" t="s">
        <v>112</v>
      </c>
      <c r="D45" s="528"/>
      <c r="E45" s="29"/>
      <c r="F45" s="334" t="s">
        <v>369</v>
      </c>
      <c r="G45" s="29"/>
    </row>
    <row r="46" spans="1:7" s="13" customFormat="1" ht="13.5" thickBot="1" x14ac:dyDescent="0.3">
      <c r="A46" s="541"/>
      <c r="B46" s="542"/>
      <c r="C46" s="527" t="s">
        <v>113</v>
      </c>
      <c r="D46" s="528"/>
      <c r="E46" s="29"/>
      <c r="F46" s="334" t="s">
        <v>340</v>
      </c>
      <c r="G46" s="29"/>
    </row>
    <row r="47" spans="1:7" s="13" customFormat="1" ht="13.5" customHeight="1" thickBot="1" x14ac:dyDescent="0.3">
      <c r="A47" s="541"/>
      <c r="B47" s="542"/>
      <c r="C47" s="529" t="s">
        <v>114</v>
      </c>
      <c r="D47" s="530"/>
      <c r="E47" s="29"/>
      <c r="F47" s="334" t="s">
        <v>369</v>
      </c>
      <c r="G47" s="29"/>
    </row>
    <row r="48" spans="1:7" s="13" customFormat="1" ht="13.5" thickBot="1" x14ac:dyDescent="0.3">
      <c r="A48" s="541"/>
      <c r="B48" s="542"/>
      <c r="C48" s="515" t="s">
        <v>115</v>
      </c>
      <c r="D48" s="516"/>
      <c r="E48" s="29"/>
      <c r="F48" s="343" t="s">
        <v>340</v>
      </c>
      <c r="G48" s="29"/>
    </row>
    <row r="49" spans="1:7" s="13" customFormat="1" x14ac:dyDescent="0.25">
      <c r="A49" s="517" t="s">
        <v>10</v>
      </c>
      <c r="B49" s="519" t="s">
        <v>62</v>
      </c>
      <c r="C49" s="521" t="s">
        <v>116</v>
      </c>
      <c r="D49" s="522"/>
      <c r="E49" s="29"/>
      <c r="F49" s="367">
        <v>6</v>
      </c>
      <c r="G49" s="29"/>
    </row>
    <row r="50" spans="1:7" s="13" customFormat="1" x14ac:dyDescent="0.25">
      <c r="A50" s="525"/>
      <c r="B50" s="526"/>
      <c r="C50" s="527" t="s">
        <v>117</v>
      </c>
      <c r="D50" s="528"/>
      <c r="E50" s="29"/>
      <c r="F50" s="334" t="s">
        <v>341</v>
      </c>
      <c r="G50" s="29"/>
    </row>
    <row r="51" spans="1:7" s="13" customFormat="1" ht="13.5" thickBot="1" x14ac:dyDescent="0.3">
      <c r="A51" s="525"/>
      <c r="B51" s="526"/>
      <c r="C51" s="523" t="s">
        <v>71</v>
      </c>
      <c r="D51" s="524"/>
      <c r="E51" s="29"/>
      <c r="F51" s="329" t="s">
        <v>370</v>
      </c>
      <c r="G51" s="29"/>
    </row>
    <row r="52" spans="1:7" s="13" customFormat="1" ht="78" customHeight="1" thickBot="1" x14ac:dyDescent="0.3">
      <c r="A52" s="48" t="s">
        <v>9</v>
      </c>
      <c r="B52" s="23" t="s">
        <v>140</v>
      </c>
      <c r="C52" s="529"/>
      <c r="D52" s="530"/>
      <c r="E52" s="29"/>
      <c r="F52" s="367"/>
      <c r="G52" s="29"/>
    </row>
    <row r="53" spans="1:7" s="13" customFormat="1" x14ac:dyDescent="0.25">
      <c r="A53" s="517" t="s">
        <v>25</v>
      </c>
      <c r="B53" s="519" t="s">
        <v>93</v>
      </c>
      <c r="C53" s="521" t="s">
        <v>72</v>
      </c>
      <c r="D53" s="522"/>
      <c r="E53" s="29"/>
      <c r="F53" s="367" t="s">
        <v>371</v>
      </c>
      <c r="G53" s="29"/>
    </row>
    <row r="54" spans="1:7" s="13" customFormat="1" ht="78.75" customHeight="1" thickBot="1" x14ac:dyDescent="0.3">
      <c r="A54" s="518"/>
      <c r="B54" s="520"/>
      <c r="C54" s="515" t="s">
        <v>73</v>
      </c>
      <c r="D54" s="516"/>
      <c r="E54" s="29"/>
      <c r="F54" s="343">
        <v>225</v>
      </c>
      <c r="G54" s="29"/>
    </row>
    <row r="55" spans="1:7" s="13" customFormat="1" x14ac:dyDescent="0.25">
      <c r="A55" s="517" t="s">
        <v>26</v>
      </c>
      <c r="B55" s="519"/>
      <c r="C55" s="521" t="s">
        <v>74</v>
      </c>
      <c r="D55" s="522"/>
      <c r="E55" s="29"/>
      <c r="F55" s="367" t="s">
        <v>372</v>
      </c>
      <c r="G55" s="29"/>
    </row>
    <row r="56" spans="1:7" s="13" customFormat="1" x14ac:dyDescent="0.25">
      <c r="A56" s="525"/>
      <c r="B56" s="526"/>
      <c r="C56" s="527" t="s">
        <v>75</v>
      </c>
      <c r="D56" s="528"/>
      <c r="E56" s="29"/>
      <c r="F56" s="334">
        <v>1</v>
      </c>
      <c r="G56" s="29"/>
    </row>
    <row r="57" spans="1:7" s="13" customFormat="1" ht="13.5" thickBot="1" x14ac:dyDescent="0.3">
      <c r="A57" s="518"/>
      <c r="B57" s="520"/>
      <c r="C57" s="515" t="s">
        <v>76</v>
      </c>
      <c r="D57" s="516"/>
      <c r="E57" s="29"/>
      <c r="F57" s="343" t="s">
        <v>373</v>
      </c>
      <c r="G57" s="29"/>
    </row>
    <row r="58" spans="1:7" s="13" customFormat="1" ht="17.100000000000001" customHeight="1" thickBot="1" x14ac:dyDescent="0.3">
      <c r="A58" s="47" t="s">
        <v>44</v>
      </c>
      <c r="B58" s="25" t="s">
        <v>45</v>
      </c>
      <c r="C58" s="531"/>
      <c r="D58" s="532"/>
      <c r="E58" s="30"/>
      <c r="F58" s="384"/>
      <c r="G58" s="30"/>
    </row>
    <row r="59" spans="1:7" s="13" customFormat="1" ht="30.95" customHeight="1" thickBot="1" x14ac:dyDescent="0.3">
      <c r="A59" s="47" t="s">
        <v>44</v>
      </c>
      <c r="B59" s="25" t="s">
        <v>63</v>
      </c>
      <c r="C59" s="531"/>
      <c r="D59" s="532"/>
      <c r="E59" s="30"/>
      <c r="F59" s="384"/>
      <c r="G59" s="30"/>
    </row>
    <row r="60" spans="1:7" s="13" customFormat="1" ht="27.95" customHeight="1" thickBot="1" x14ac:dyDescent="0.3">
      <c r="A60" s="47" t="s">
        <v>44</v>
      </c>
      <c r="B60" s="25" t="s">
        <v>64</v>
      </c>
      <c r="C60" s="531"/>
      <c r="D60" s="532"/>
      <c r="E60" s="30"/>
      <c r="F60" s="384"/>
      <c r="G60" s="30"/>
    </row>
    <row r="61" spans="1:7" s="13" customFormat="1" ht="17.100000000000001" customHeight="1" thickBot="1" x14ac:dyDescent="0.3">
      <c r="A61" s="47" t="s">
        <v>50</v>
      </c>
      <c r="B61" s="25" t="s">
        <v>65</v>
      </c>
      <c r="C61" s="531"/>
      <c r="D61" s="532"/>
      <c r="E61" s="30"/>
      <c r="F61" s="384"/>
      <c r="G61" s="30"/>
    </row>
    <row r="62" spans="1:7" s="13" customFormat="1" ht="13.5" thickBot="1" x14ac:dyDescent="0.3">
      <c r="A62" s="47" t="s">
        <v>27</v>
      </c>
      <c r="B62" s="25"/>
      <c r="C62" s="543" t="s">
        <v>77</v>
      </c>
      <c r="D62" s="544"/>
      <c r="E62" s="29"/>
      <c r="F62" s="373" t="s">
        <v>346</v>
      </c>
      <c r="G62" s="29"/>
    </row>
    <row r="63" spans="1:7" s="13" customFormat="1" ht="42" customHeight="1" thickBot="1" x14ac:dyDescent="0.3">
      <c r="A63" s="47" t="s">
        <v>28</v>
      </c>
      <c r="B63" s="25" t="s">
        <v>147</v>
      </c>
      <c r="C63" s="543" t="s">
        <v>78</v>
      </c>
      <c r="D63" s="544"/>
      <c r="E63" s="29"/>
      <c r="F63" s="373">
        <v>40</v>
      </c>
      <c r="G63" s="29"/>
    </row>
    <row r="64" spans="1:7" s="13" customFormat="1" ht="41.1" customHeight="1" thickBot="1" x14ac:dyDescent="0.3">
      <c r="A64" s="47" t="s">
        <v>51</v>
      </c>
      <c r="B64" s="25" t="s">
        <v>79</v>
      </c>
      <c r="C64" s="531"/>
      <c r="D64" s="532"/>
      <c r="E64" s="30"/>
      <c r="F64" s="373"/>
      <c r="G64" s="30"/>
    </row>
    <row r="65" spans="1:7" s="13" customFormat="1" ht="40.5" customHeight="1" thickBot="1" x14ac:dyDescent="0.3">
      <c r="A65" s="47" t="s">
        <v>54</v>
      </c>
      <c r="B65" s="25" t="s">
        <v>80</v>
      </c>
      <c r="C65" s="531"/>
      <c r="D65" s="532"/>
      <c r="E65" s="30"/>
      <c r="F65" s="373"/>
      <c r="G65" s="30"/>
    </row>
    <row r="66" spans="1:7" s="13" customFormat="1" ht="78" customHeight="1" thickBot="1" x14ac:dyDescent="0.3">
      <c r="A66" s="47" t="s">
        <v>29</v>
      </c>
      <c r="B66" s="25" t="s">
        <v>132</v>
      </c>
      <c r="C66" s="531"/>
      <c r="D66" s="532"/>
      <c r="E66" s="30"/>
      <c r="F66" s="373"/>
      <c r="G66" s="30"/>
    </row>
    <row r="67" spans="1:7" s="13" customFormat="1" ht="51" customHeight="1" thickBot="1" x14ac:dyDescent="0.3">
      <c r="A67" s="47" t="s">
        <v>31</v>
      </c>
      <c r="B67" s="25" t="s">
        <v>94</v>
      </c>
      <c r="C67" s="543" t="s">
        <v>30</v>
      </c>
      <c r="D67" s="544"/>
      <c r="E67" s="29"/>
      <c r="F67" s="373" t="s">
        <v>347</v>
      </c>
      <c r="G67" s="29"/>
    </row>
    <row r="68" spans="1:7" s="13" customFormat="1" ht="28.5" customHeight="1" thickBot="1" x14ac:dyDescent="0.3">
      <c r="A68" s="47" t="s">
        <v>55</v>
      </c>
      <c r="B68" s="25" t="s">
        <v>95</v>
      </c>
      <c r="C68" s="531"/>
      <c r="D68" s="532"/>
      <c r="E68" s="30"/>
      <c r="F68" s="373"/>
      <c r="G68" s="30"/>
    </row>
    <row r="69" spans="1:7" s="13" customFormat="1" ht="39.75" customHeight="1" thickBot="1" x14ac:dyDescent="0.3">
      <c r="A69" s="47" t="s">
        <v>32</v>
      </c>
      <c r="B69" s="25" t="s">
        <v>96</v>
      </c>
      <c r="C69" s="543" t="s">
        <v>30</v>
      </c>
      <c r="D69" s="544"/>
      <c r="E69" s="29"/>
      <c r="F69" s="373" t="s">
        <v>348</v>
      </c>
      <c r="G69" s="29"/>
    </row>
    <row r="70" spans="1:7" s="13" customFormat="1" ht="42.6" customHeight="1" thickBot="1" x14ac:dyDescent="0.3">
      <c r="A70" s="47" t="s">
        <v>56</v>
      </c>
      <c r="B70" s="25" t="s">
        <v>167</v>
      </c>
      <c r="C70" s="531"/>
      <c r="D70" s="532"/>
      <c r="E70" s="30"/>
      <c r="F70" s="373"/>
      <c r="G70" s="30"/>
    </row>
    <row r="71" spans="1:7" s="13" customFormat="1" ht="30.95" customHeight="1" thickBot="1" x14ac:dyDescent="0.3">
      <c r="A71" s="47" t="s">
        <v>48</v>
      </c>
      <c r="B71" s="25" t="s">
        <v>47</v>
      </c>
      <c r="C71" s="531"/>
      <c r="D71" s="532"/>
      <c r="E71" s="30"/>
      <c r="F71" s="373"/>
      <c r="G71" s="30"/>
    </row>
    <row r="72" spans="1:7" s="13" customFormat="1" ht="30.6" customHeight="1" thickBot="1" x14ac:dyDescent="0.3">
      <c r="A72" s="47" t="s">
        <v>49</v>
      </c>
      <c r="B72" s="25" t="s">
        <v>103</v>
      </c>
      <c r="C72" s="531"/>
      <c r="D72" s="532"/>
      <c r="E72" s="30"/>
      <c r="F72" s="373"/>
      <c r="G72" s="30"/>
    </row>
    <row r="73" spans="1:7" s="13" customFormat="1" ht="26.25" thickBot="1" x14ac:dyDescent="0.3">
      <c r="A73" s="47" t="s">
        <v>46</v>
      </c>
      <c r="B73" s="25" t="s">
        <v>81</v>
      </c>
      <c r="C73" s="531"/>
      <c r="D73" s="532"/>
      <c r="E73" s="30"/>
      <c r="F73" s="373"/>
      <c r="G73" s="30"/>
    </row>
    <row r="74" spans="1:7" ht="13.5" thickBot="1" x14ac:dyDescent="0.25"/>
    <row r="75" spans="1:7" s="16" customFormat="1" ht="18.75" thickBot="1" x14ac:dyDescent="0.3">
      <c r="A75" s="536" t="s">
        <v>168</v>
      </c>
      <c r="B75" s="537"/>
      <c r="C75" s="537"/>
      <c r="D75" s="538"/>
      <c r="E75" s="33"/>
      <c r="F75" s="414" t="s">
        <v>367</v>
      </c>
    </row>
    <row r="76" spans="1:7" s="3" customFormat="1" ht="15" customHeight="1" thickBot="1" x14ac:dyDescent="0.3">
      <c r="A76" s="545" t="s">
        <v>169</v>
      </c>
      <c r="B76" s="546"/>
      <c r="C76" s="546"/>
      <c r="D76" s="547"/>
      <c r="E76" s="34"/>
      <c r="F76" s="415" t="s">
        <v>17</v>
      </c>
    </row>
    <row r="77" spans="1:7" s="13" customFormat="1" x14ac:dyDescent="0.25">
      <c r="A77" s="548" t="s">
        <v>82</v>
      </c>
      <c r="B77" s="549"/>
      <c r="C77" s="549"/>
      <c r="D77" s="550"/>
      <c r="E77" s="30"/>
      <c r="F77" s="420">
        <f>1010*('PPI Adj'!D6)</f>
        <v>1178.67</v>
      </c>
      <c r="G77" s="29"/>
    </row>
    <row r="78" spans="1:7" s="13" customFormat="1" x14ac:dyDescent="0.25">
      <c r="A78" s="548" t="s">
        <v>83</v>
      </c>
      <c r="B78" s="549"/>
      <c r="C78" s="549"/>
      <c r="D78" s="550"/>
      <c r="E78" s="30"/>
      <c r="F78" s="420">
        <f>-1010*('PPI Adj'!D6)</f>
        <v>-1178.67</v>
      </c>
      <c r="G78" s="29"/>
    </row>
    <row r="79" spans="1:7" s="13" customFormat="1" x14ac:dyDescent="0.25">
      <c r="A79" s="551" t="s">
        <v>34</v>
      </c>
      <c r="B79" s="552"/>
      <c r="C79" s="552"/>
      <c r="D79" s="553"/>
      <c r="E79" s="29"/>
      <c r="F79" s="421">
        <f>532*('PPI Adj'!D6)</f>
        <v>620.84400000000005</v>
      </c>
      <c r="G79" s="29"/>
    </row>
    <row r="80" spans="1:7" s="13" customFormat="1" x14ac:dyDescent="0.25">
      <c r="A80" s="551" t="s">
        <v>35</v>
      </c>
      <c r="B80" s="552"/>
      <c r="C80" s="552"/>
      <c r="D80" s="553"/>
      <c r="E80" s="30"/>
      <c r="F80" s="421">
        <f>261*('PPI Adj'!D6)</f>
        <v>304.58699999999999</v>
      </c>
      <c r="G80" s="29"/>
    </row>
    <row r="81" spans="1:7" s="13" customFormat="1" x14ac:dyDescent="0.25">
      <c r="A81" s="551" t="s">
        <v>36</v>
      </c>
      <c r="B81" s="552"/>
      <c r="C81" s="552"/>
      <c r="D81" s="553"/>
      <c r="E81" s="29"/>
      <c r="F81" s="421">
        <f>290*('PPI Adj'!D6)</f>
        <v>338.43</v>
      </c>
      <c r="G81" s="29"/>
    </row>
    <row r="82" spans="1:7" s="13" customFormat="1" x14ac:dyDescent="0.25">
      <c r="A82" s="551" t="s">
        <v>60</v>
      </c>
      <c r="B82" s="552"/>
      <c r="C82" s="552"/>
      <c r="D82" s="553"/>
      <c r="E82" s="29"/>
      <c r="F82" s="421">
        <f>1086*('PPI Adj'!D6)</f>
        <v>1267.3620000000001</v>
      </c>
      <c r="G82" s="29"/>
    </row>
    <row r="83" spans="1:7" s="13" customFormat="1" x14ac:dyDescent="0.25">
      <c r="A83" s="551" t="s">
        <v>61</v>
      </c>
      <c r="B83" s="552"/>
      <c r="C83" s="552"/>
      <c r="D83" s="553"/>
      <c r="E83" s="29"/>
      <c r="F83" s="421">
        <f>1524*('PPI Adj'!D6)</f>
        <v>1778.508</v>
      </c>
      <c r="G83" s="29"/>
    </row>
    <row r="84" spans="1:7" s="13" customFormat="1" x14ac:dyDescent="0.25">
      <c r="A84" s="551" t="s">
        <v>86</v>
      </c>
      <c r="B84" s="552"/>
      <c r="C84" s="552"/>
      <c r="D84" s="553"/>
      <c r="E84" s="29"/>
      <c r="F84" s="421">
        <f>856*('PPI Adj'!D6)</f>
        <v>998.952</v>
      </c>
      <c r="G84" s="29"/>
    </row>
    <row r="85" spans="1:7" x14ac:dyDescent="0.2">
      <c r="A85" s="551" t="s">
        <v>85</v>
      </c>
      <c r="B85" s="552"/>
      <c r="C85" s="552"/>
      <c r="D85" s="553"/>
      <c r="E85" s="29"/>
      <c r="F85" s="421" t="s">
        <v>181</v>
      </c>
      <c r="G85" s="5"/>
    </row>
    <row r="86" spans="1:7" x14ac:dyDescent="0.2">
      <c r="A86" s="551" t="s">
        <v>13</v>
      </c>
      <c r="B86" s="552"/>
      <c r="C86" s="552"/>
      <c r="D86" s="553"/>
      <c r="E86" s="29"/>
      <c r="F86" s="421">
        <f>10801*('PPI Adj'!D6)</f>
        <v>12604.767</v>
      </c>
      <c r="G86" s="5"/>
    </row>
    <row r="87" spans="1:7" x14ac:dyDescent="0.2">
      <c r="A87" s="551" t="s">
        <v>37</v>
      </c>
      <c r="B87" s="552"/>
      <c r="C87" s="552"/>
      <c r="D87" s="553"/>
      <c r="E87" s="30"/>
      <c r="F87" s="421">
        <f>500*('PPI Adj'!D6)</f>
        <v>583.5</v>
      </c>
      <c r="G87" s="5"/>
    </row>
    <row r="88" spans="1:7" x14ac:dyDescent="0.2">
      <c r="A88" s="551" t="s">
        <v>38</v>
      </c>
      <c r="B88" s="552"/>
      <c r="C88" s="552"/>
      <c r="D88" s="553"/>
      <c r="E88" s="30"/>
      <c r="F88" s="421">
        <f>662*('PPI Adj'!D6)</f>
        <v>772.55399999999997</v>
      </c>
      <c r="G88" s="5"/>
    </row>
    <row r="89" spans="1:7" x14ac:dyDescent="0.2">
      <c r="A89" s="551" t="s">
        <v>39</v>
      </c>
      <c r="B89" s="552"/>
      <c r="C89" s="552"/>
      <c r="D89" s="553"/>
      <c r="E89" s="29"/>
      <c r="F89" s="421">
        <f>882*('PPI Adj'!D6)</f>
        <v>1029.2940000000001</v>
      </c>
      <c r="G89" s="5"/>
    </row>
    <row r="90" spans="1:7" x14ac:dyDescent="0.2">
      <c r="A90" s="551" t="s">
        <v>90</v>
      </c>
      <c r="B90" s="552"/>
      <c r="C90" s="552"/>
      <c r="D90" s="553"/>
      <c r="E90" s="30"/>
      <c r="F90" s="421">
        <f>394.87*('PPI Adj'!D6)</f>
        <v>460.81328999999999</v>
      </c>
      <c r="G90" s="5"/>
    </row>
    <row r="91" spans="1:7" x14ac:dyDescent="0.2">
      <c r="A91" s="551" t="s">
        <v>88</v>
      </c>
      <c r="B91" s="552"/>
      <c r="C91" s="552"/>
      <c r="D91" s="553"/>
      <c r="E91" s="29"/>
      <c r="F91" s="421" t="s">
        <v>181</v>
      </c>
      <c r="G91" s="5"/>
    </row>
    <row r="92" spans="1:7" x14ac:dyDescent="0.2">
      <c r="A92" s="551" t="s">
        <v>40</v>
      </c>
      <c r="B92" s="552"/>
      <c r="C92" s="552"/>
      <c r="D92" s="553"/>
      <c r="E92" s="29"/>
      <c r="F92" s="421">
        <f>204*('PPI Adj'!D6)</f>
        <v>238.06800000000001</v>
      </c>
      <c r="G92" s="5"/>
    </row>
    <row r="93" spans="1:7" x14ac:dyDescent="0.2">
      <c r="A93" s="551" t="s">
        <v>14</v>
      </c>
      <c r="B93" s="552"/>
      <c r="C93" s="552"/>
      <c r="D93" s="553"/>
      <c r="E93" s="29"/>
      <c r="F93" s="421">
        <f>8330*('PPI Adj'!D6)</f>
        <v>9721.11</v>
      </c>
      <c r="G93" s="5"/>
    </row>
    <row r="94" spans="1:7" x14ac:dyDescent="0.2">
      <c r="A94" s="551" t="s">
        <v>91</v>
      </c>
      <c r="B94" s="552"/>
      <c r="C94" s="552"/>
      <c r="D94" s="553"/>
      <c r="E94" s="29"/>
      <c r="F94" s="422">
        <f>1971*('PPI Adj'!D6)</f>
        <v>2300.1570000000002</v>
      </c>
      <c r="G94" s="5"/>
    </row>
    <row r="95" spans="1:7" x14ac:dyDescent="0.2">
      <c r="A95" s="557" t="s">
        <v>272</v>
      </c>
      <c r="B95" s="558"/>
      <c r="C95" s="558"/>
      <c r="D95" s="559"/>
      <c r="E95" s="29"/>
      <c r="F95" s="421">
        <f>-1036*('PPI Adj'!D6)</f>
        <v>-1209.0119999999999</v>
      </c>
      <c r="G95" s="5"/>
    </row>
    <row r="96" spans="1:7" ht="13.5" thickBot="1" x14ac:dyDescent="0.25">
      <c r="A96" s="554" t="s">
        <v>92</v>
      </c>
      <c r="B96" s="555"/>
      <c r="C96" s="555"/>
      <c r="D96" s="556"/>
      <c r="E96" s="30"/>
      <c r="F96" s="423">
        <f>-2023*('PPI Adj'!D6)</f>
        <v>-2360.8409999999999</v>
      </c>
      <c r="G96" s="5"/>
    </row>
    <row r="97" spans="1:6" ht="13.5" thickBot="1" x14ac:dyDescent="0.25"/>
    <row r="98" spans="1:6" s="16" customFormat="1" ht="18.75" thickBot="1" x14ac:dyDescent="0.3">
      <c r="A98" s="536" t="s">
        <v>166</v>
      </c>
      <c r="B98" s="537"/>
      <c r="C98" s="537"/>
      <c r="D98" s="538"/>
      <c r="E98" s="33"/>
      <c r="F98" s="414" t="s">
        <v>367</v>
      </c>
    </row>
    <row r="99" spans="1:6" s="3" customFormat="1" ht="15" customHeight="1" thickBot="1" x14ac:dyDescent="0.3">
      <c r="A99" s="49" t="s">
        <v>33</v>
      </c>
      <c r="B99" s="19" t="s">
        <v>7</v>
      </c>
      <c r="C99" s="560" t="s">
        <v>165</v>
      </c>
      <c r="D99" s="561"/>
      <c r="E99" s="34"/>
      <c r="F99" s="415" t="s">
        <v>17</v>
      </c>
    </row>
    <row r="100" spans="1:6" s="13" customFormat="1" ht="29.45" customHeight="1" thickBot="1" x14ac:dyDescent="0.3">
      <c r="A100" s="50" t="s">
        <v>82</v>
      </c>
      <c r="B100" s="15" t="s">
        <v>130</v>
      </c>
      <c r="C100" s="562"/>
      <c r="D100" s="563"/>
      <c r="E100" s="30"/>
      <c r="F100" s="373"/>
    </row>
    <row r="101" spans="1:6" s="13" customFormat="1" ht="42" customHeight="1" thickBot="1" x14ac:dyDescent="0.3">
      <c r="A101" s="50" t="s">
        <v>83</v>
      </c>
      <c r="B101" s="18" t="s">
        <v>146</v>
      </c>
      <c r="C101" s="562"/>
      <c r="D101" s="563"/>
      <c r="E101" s="30"/>
      <c r="F101" s="373"/>
    </row>
    <row r="102" spans="1:6" s="13" customFormat="1" ht="27" customHeight="1" thickBot="1" x14ac:dyDescent="0.3">
      <c r="A102" s="47" t="s">
        <v>34</v>
      </c>
      <c r="B102" s="25" t="s">
        <v>107</v>
      </c>
      <c r="C102" s="543" t="s">
        <v>30</v>
      </c>
      <c r="D102" s="544"/>
      <c r="E102" s="29"/>
      <c r="F102" s="373" t="s">
        <v>349</v>
      </c>
    </row>
    <row r="103" spans="1:6" s="13" customFormat="1" ht="53.45" customHeight="1" thickBot="1" x14ac:dyDescent="0.3">
      <c r="A103" s="47" t="s">
        <v>35</v>
      </c>
      <c r="B103" s="25" t="s">
        <v>97</v>
      </c>
      <c r="C103" s="531"/>
      <c r="D103" s="532"/>
      <c r="E103" s="30"/>
      <c r="F103" s="367"/>
    </row>
    <row r="104" spans="1:6" s="13" customFormat="1" ht="32.1" customHeight="1" thickBot="1" x14ac:dyDescent="0.3">
      <c r="A104" s="47" t="s">
        <v>36</v>
      </c>
      <c r="B104" s="25" t="s">
        <v>84</v>
      </c>
      <c r="C104" s="543" t="s">
        <v>99</v>
      </c>
      <c r="D104" s="544"/>
      <c r="E104" s="29"/>
      <c r="F104" s="373" t="s">
        <v>307</v>
      </c>
    </row>
    <row r="105" spans="1:6" s="13" customFormat="1" ht="12.75" customHeight="1" x14ac:dyDescent="0.25">
      <c r="A105" s="517" t="s">
        <v>60</v>
      </c>
      <c r="B105" s="519" t="s">
        <v>133</v>
      </c>
      <c r="C105" s="521" t="s">
        <v>176</v>
      </c>
      <c r="D105" s="522"/>
      <c r="E105" s="29"/>
      <c r="F105" s="367" t="s">
        <v>368</v>
      </c>
    </row>
    <row r="106" spans="1:6" s="13" customFormat="1" ht="12.75" customHeight="1" x14ac:dyDescent="0.25">
      <c r="A106" s="525"/>
      <c r="B106" s="526"/>
      <c r="C106" s="527" t="s">
        <v>177</v>
      </c>
      <c r="D106" s="528"/>
      <c r="E106" s="29"/>
      <c r="F106" s="334">
        <v>2470</v>
      </c>
    </row>
    <row r="107" spans="1:6" s="13" customFormat="1" ht="12.75" customHeight="1" x14ac:dyDescent="0.25">
      <c r="A107" s="525"/>
      <c r="B107" s="526"/>
      <c r="C107" s="527" t="s">
        <v>114</v>
      </c>
      <c r="D107" s="528"/>
      <c r="E107" s="29"/>
      <c r="F107" s="334" t="s">
        <v>374</v>
      </c>
    </row>
    <row r="108" spans="1:6" s="13" customFormat="1" ht="29.1" customHeight="1" thickBot="1" x14ac:dyDescent="0.3">
      <c r="A108" s="518"/>
      <c r="B108" s="520"/>
      <c r="C108" s="515" t="s">
        <v>115</v>
      </c>
      <c r="D108" s="516"/>
      <c r="E108" s="29"/>
      <c r="F108" s="343" t="s">
        <v>353</v>
      </c>
    </row>
    <row r="109" spans="1:6" s="13" customFormat="1" ht="12.75" customHeight="1" x14ac:dyDescent="0.25">
      <c r="A109" s="517" t="s">
        <v>61</v>
      </c>
      <c r="B109" s="519" t="s">
        <v>134</v>
      </c>
      <c r="C109" s="521" t="s">
        <v>174</v>
      </c>
      <c r="D109" s="522"/>
      <c r="E109" s="29"/>
      <c r="F109" s="367" t="s">
        <v>368</v>
      </c>
    </row>
    <row r="110" spans="1:6" s="13" customFormat="1" ht="12.75" customHeight="1" x14ac:dyDescent="0.25">
      <c r="A110" s="525"/>
      <c r="B110" s="526"/>
      <c r="C110" s="527" t="s">
        <v>175</v>
      </c>
      <c r="D110" s="528"/>
      <c r="E110" s="29"/>
      <c r="F110" s="419">
        <v>2680</v>
      </c>
    </row>
    <row r="111" spans="1:6" s="13" customFormat="1" ht="12.75" customHeight="1" x14ac:dyDescent="0.25">
      <c r="A111" s="525"/>
      <c r="B111" s="526"/>
      <c r="C111" s="527" t="s">
        <v>176</v>
      </c>
      <c r="D111" s="528"/>
      <c r="E111" s="29"/>
      <c r="F111" s="419" t="s">
        <v>368</v>
      </c>
    </row>
    <row r="112" spans="1:6" s="13" customFormat="1" ht="12.75" customHeight="1" x14ac:dyDescent="0.25">
      <c r="A112" s="525"/>
      <c r="B112" s="526"/>
      <c r="C112" s="527" t="s">
        <v>177</v>
      </c>
      <c r="D112" s="528"/>
      <c r="E112" s="29"/>
      <c r="F112" s="334">
        <v>2470</v>
      </c>
    </row>
    <row r="113" spans="1:6" s="13" customFormat="1" ht="12.75" customHeight="1" x14ac:dyDescent="0.25">
      <c r="A113" s="525"/>
      <c r="B113" s="526"/>
      <c r="C113" s="527" t="s">
        <v>112</v>
      </c>
      <c r="D113" s="528"/>
      <c r="E113" s="29"/>
      <c r="F113" s="334" t="s">
        <v>355</v>
      </c>
    </row>
    <row r="114" spans="1:6" s="13" customFormat="1" ht="12.75" customHeight="1" x14ac:dyDescent="0.25">
      <c r="A114" s="525"/>
      <c r="B114" s="526"/>
      <c r="C114" s="527" t="s">
        <v>113</v>
      </c>
      <c r="D114" s="528"/>
      <c r="E114" s="29"/>
      <c r="F114" s="419" t="s">
        <v>356</v>
      </c>
    </row>
    <row r="115" spans="1:6" s="13" customFormat="1" ht="12.75" customHeight="1" x14ac:dyDescent="0.25">
      <c r="A115" s="525"/>
      <c r="B115" s="526"/>
      <c r="C115" s="527" t="s">
        <v>114</v>
      </c>
      <c r="D115" s="528"/>
      <c r="E115" s="29"/>
      <c r="F115" s="419" t="s">
        <v>355</v>
      </c>
    </row>
    <row r="116" spans="1:6" s="13" customFormat="1" ht="15.95" customHeight="1" thickBot="1" x14ac:dyDescent="0.3">
      <c r="A116" s="518"/>
      <c r="B116" s="520"/>
      <c r="C116" s="515" t="s">
        <v>115</v>
      </c>
      <c r="D116" s="516"/>
      <c r="E116" s="29"/>
      <c r="F116" s="343" t="s">
        <v>356</v>
      </c>
    </row>
    <row r="117" spans="1:6" s="13" customFormat="1" ht="144.94999999999999" customHeight="1" thickBot="1" x14ac:dyDescent="0.3">
      <c r="A117" s="51" t="s">
        <v>86</v>
      </c>
      <c r="B117" s="17" t="s">
        <v>143</v>
      </c>
      <c r="C117" s="543" t="s">
        <v>104</v>
      </c>
      <c r="D117" s="544"/>
      <c r="E117" s="29"/>
      <c r="F117" s="367" t="s">
        <v>357</v>
      </c>
    </row>
    <row r="118" spans="1:6" ht="170.1" customHeight="1" thickBot="1" x14ac:dyDescent="0.25">
      <c r="A118" s="47" t="s">
        <v>85</v>
      </c>
      <c r="B118" s="14" t="s">
        <v>170</v>
      </c>
      <c r="C118" s="543" t="s">
        <v>104</v>
      </c>
      <c r="D118" s="544"/>
      <c r="E118" s="29"/>
      <c r="F118" s="373" t="s">
        <v>181</v>
      </c>
    </row>
    <row r="119" spans="1:6" x14ac:dyDescent="0.2">
      <c r="A119" s="517" t="s">
        <v>13</v>
      </c>
      <c r="B119" s="519" t="s">
        <v>98</v>
      </c>
      <c r="C119" s="521" t="s">
        <v>30</v>
      </c>
      <c r="D119" s="522"/>
      <c r="E119" s="29"/>
      <c r="F119" s="367" t="s">
        <v>358</v>
      </c>
    </row>
    <row r="120" spans="1:6" ht="29.45" customHeight="1" thickBot="1" x14ac:dyDescent="0.25">
      <c r="A120" s="518"/>
      <c r="B120" s="520"/>
      <c r="C120" s="515" t="s">
        <v>109</v>
      </c>
      <c r="D120" s="516"/>
      <c r="E120" s="29"/>
      <c r="F120" s="343" t="s">
        <v>359</v>
      </c>
    </row>
    <row r="121" spans="1:6" ht="67.5" customHeight="1" thickBot="1" x14ac:dyDescent="0.25">
      <c r="A121" s="47" t="s">
        <v>37</v>
      </c>
      <c r="B121" s="25" t="s">
        <v>135</v>
      </c>
      <c r="C121" s="531"/>
      <c r="D121" s="532"/>
      <c r="E121" s="30"/>
      <c r="F121" s="373" t="s">
        <v>375</v>
      </c>
    </row>
    <row r="122" spans="1:6" ht="41.1" customHeight="1" thickBot="1" x14ac:dyDescent="0.25">
      <c r="A122" s="47" t="s">
        <v>38</v>
      </c>
      <c r="B122" s="25" t="s">
        <v>87</v>
      </c>
      <c r="C122" s="531"/>
      <c r="D122" s="532"/>
      <c r="E122" s="30"/>
      <c r="F122" s="373"/>
    </row>
    <row r="123" spans="1:6" ht="26.25" thickBot="1" x14ac:dyDescent="0.25">
      <c r="A123" s="47" t="s">
        <v>39</v>
      </c>
      <c r="B123" s="25" t="s">
        <v>106</v>
      </c>
      <c r="C123" s="543" t="s">
        <v>105</v>
      </c>
      <c r="D123" s="544"/>
      <c r="E123" s="29"/>
      <c r="F123" s="373" t="s">
        <v>377</v>
      </c>
    </row>
    <row r="124" spans="1:6" ht="40.5" customHeight="1" thickBot="1" x14ac:dyDescent="0.25">
      <c r="A124" s="47" t="s">
        <v>90</v>
      </c>
      <c r="B124" s="25" t="s">
        <v>129</v>
      </c>
      <c r="C124" s="531"/>
      <c r="D124" s="532"/>
      <c r="E124" s="30"/>
      <c r="F124" s="373"/>
    </row>
    <row r="125" spans="1:6" x14ac:dyDescent="0.2">
      <c r="A125" s="517" t="s">
        <v>88</v>
      </c>
      <c r="B125" s="519" t="s">
        <v>148</v>
      </c>
      <c r="C125" s="521" t="s">
        <v>100</v>
      </c>
      <c r="D125" s="522"/>
      <c r="E125" s="29"/>
      <c r="F125" s="367" t="s">
        <v>181</v>
      </c>
    </row>
    <row r="126" spans="1:6" ht="108" customHeight="1" thickBot="1" x14ac:dyDescent="0.25">
      <c r="A126" s="518"/>
      <c r="B126" s="520"/>
      <c r="C126" s="515" t="s">
        <v>110</v>
      </c>
      <c r="D126" s="516"/>
      <c r="E126" s="29"/>
      <c r="F126" s="424"/>
    </row>
    <row r="127" spans="1:6" ht="26.25" thickBot="1" x14ac:dyDescent="0.25">
      <c r="A127" s="47" t="s">
        <v>40</v>
      </c>
      <c r="B127" s="25" t="s">
        <v>137</v>
      </c>
      <c r="C127" s="543" t="s">
        <v>100</v>
      </c>
      <c r="D127" s="544"/>
      <c r="E127" s="29"/>
      <c r="F127" s="343" t="s">
        <v>376</v>
      </c>
    </row>
    <row r="128" spans="1:6" ht="53.45" customHeight="1" thickBot="1" x14ac:dyDescent="0.25">
      <c r="A128" s="47" t="s">
        <v>14</v>
      </c>
      <c r="B128" s="25" t="s">
        <v>138</v>
      </c>
      <c r="C128" s="543" t="s">
        <v>139</v>
      </c>
      <c r="D128" s="544"/>
      <c r="E128" s="29"/>
      <c r="F128" s="373">
        <v>2</v>
      </c>
    </row>
    <row r="129" spans="1:6" ht="67.5" customHeight="1" thickBot="1" x14ac:dyDescent="0.25">
      <c r="A129" s="47" t="s">
        <v>91</v>
      </c>
      <c r="B129" s="25" t="s">
        <v>144</v>
      </c>
      <c r="C129" s="543" t="s">
        <v>100</v>
      </c>
      <c r="D129" s="544"/>
      <c r="E129" s="29"/>
      <c r="F129" s="373" t="s">
        <v>361</v>
      </c>
    </row>
    <row r="130" spans="1:6" ht="69" customHeight="1" thickBot="1" x14ac:dyDescent="0.25">
      <c r="A130" s="47" t="s">
        <v>92</v>
      </c>
      <c r="B130" s="25" t="s">
        <v>145</v>
      </c>
      <c r="C130" s="531"/>
      <c r="D130" s="532"/>
      <c r="E130" s="30"/>
      <c r="F130" s="373"/>
    </row>
  </sheetData>
  <sheetProtection algorithmName="SHA-512" hashValue="9m2ycjL2Sns6X4kgJbjBHLM2fbniygO52RXBICc0uk2t7gB2wrh/zggMZD1/VxqXdK9QNXjdbREwmu3dUIgPjQ==" saltValue="KTlDrMWYNH9X5GFjUt7d/A==" spinCount="100000" sheet="1" objects="1" scenarios="1"/>
  <dataConsolidate/>
  <mergeCells count="145">
    <mergeCell ref="C127:D127"/>
    <mergeCell ref="C128:D128"/>
    <mergeCell ref="C129:D129"/>
    <mergeCell ref="C130:D130"/>
    <mergeCell ref="A87:D87"/>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99:D99"/>
    <mergeCell ref="C100:D100"/>
    <mergeCell ref="C101:D101"/>
    <mergeCell ref="C102:D102"/>
    <mergeCell ref="C103:D103"/>
    <mergeCell ref="C104:D104"/>
    <mergeCell ref="A105:A108"/>
    <mergeCell ref="B105:B108"/>
    <mergeCell ref="C105:D105"/>
    <mergeCell ref="C106:D106"/>
    <mergeCell ref="C107:D107"/>
    <mergeCell ref="C108:D108"/>
    <mergeCell ref="A81:D81"/>
    <mergeCell ref="A82:D82"/>
    <mergeCell ref="A83:D83"/>
    <mergeCell ref="A84:D84"/>
    <mergeCell ref="A85:D85"/>
    <mergeCell ref="A93:D93"/>
    <mergeCell ref="A94:D94"/>
    <mergeCell ref="A96:D96"/>
    <mergeCell ref="A98:D98"/>
    <mergeCell ref="A86:D86"/>
    <mergeCell ref="A88:D88"/>
    <mergeCell ref="A89:D89"/>
    <mergeCell ref="A90:D90"/>
    <mergeCell ref="A91:D91"/>
    <mergeCell ref="A92:D92"/>
    <mergeCell ref="A95:D95"/>
    <mergeCell ref="A77:D77"/>
    <mergeCell ref="A78:D78"/>
    <mergeCell ref="A79:D79"/>
    <mergeCell ref="C70:D70"/>
    <mergeCell ref="C71:D71"/>
    <mergeCell ref="C72:D72"/>
    <mergeCell ref="C73:D73"/>
    <mergeCell ref="A75:D75"/>
    <mergeCell ref="A80:D80"/>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A31:A35"/>
    <mergeCell ref="B31:B35"/>
    <mergeCell ref="C31:D31"/>
    <mergeCell ref="C32:D32"/>
    <mergeCell ref="C33:D33"/>
    <mergeCell ref="C34:D34"/>
    <mergeCell ref="A36:A37"/>
    <mergeCell ref="B36:B37"/>
    <mergeCell ref="C36:D36"/>
    <mergeCell ref="C37:D37"/>
    <mergeCell ref="B17:D17"/>
    <mergeCell ref="C26:D26"/>
    <mergeCell ref="C35:D35"/>
    <mergeCell ref="C27:D27"/>
    <mergeCell ref="A28:A29"/>
    <mergeCell ref="B28:B29"/>
    <mergeCell ref="C28:D28"/>
    <mergeCell ref="C29:D29"/>
    <mergeCell ref="C30:D30"/>
    <mergeCell ref="B21:D21"/>
    <mergeCell ref="B22:D22"/>
    <mergeCell ref="B23:D23"/>
    <mergeCell ref="A25:D25"/>
    <mergeCell ref="A19:D19"/>
    <mergeCell ref="A3:D3"/>
    <mergeCell ref="A4:D4"/>
    <mergeCell ref="A6:D6"/>
    <mergeCell ref="B12:D12"/>
    <mergeCell ref="B13:D13"/>
    <mergeCell ref="B14:D14"/>
    <mergeCell ref="B15:D15"/>
    <mergeCell ref="B16:D16"/>
    <mergeCell ref="B8:D8"/>
    <mergeCell ref="B9:D9"/>
    <mergeCell ref="B10:D10"/>
    <mergeCell ref="B11:D11"/>
  </mergeCells>
  <conditionalFormatting sqref="C52 C60">
    <cfRule type="expression" dxfId="179" priority="104">
      <formula>#REF!="NO"</formula>
    </cfRule>
  </conditionalFormatting>
  <conditionalFormatting sqref="C100:F130">
    <cfRule type="expression" dxfId="178" priority="2">
      <formula>#REF!="NO"</formula>
    </cfRule>
  </conditionalFormatting>
  <conditionalFormatting sqref="C27:G73">
    <cfRule type="expression" dxfId="177" priority="19">
      <formula>#REF!="NO"</formula>
    </cfRule>
  </conditionalFormatting>
  <conditionalFormatting sqref="E77:F96">
    <cfRule type="expression" dxfId="176" priority="1">
      <formula>#REF!="NO"</formula>
    </cfRule>
  </conditionalFormatting>
  <conditionalFormatting sqref="F8:F17">
    <cfRule type="expression" dxfId="175" priority="38">
      <formula>#REF!="NO"</formula>
    </cfRule>
  </conditionalFormatting>
  <conditionalFormatting sqref="F21:F23">
    <cfRule type="expression" dxfId="174" priority="51">
      <formula>#REF!="NO"</formula>
    </cfRule>
  </conditionalFormatting>
  <dataValidations count="3">
    <dataValidation type="decimal" operator="greaterThanOrEqual" allowBlank="1" showInputMessage="1" showErrorMessage="1" error="The Pickup Allowance cannot be a negative number." sqref="F16" xr:uid="{00000000-0002-0000-0200-000002000000}">
      <formula1>0</formula1>
    </dataValidation>
    <dataValidation type="decimal" allowBlank="1" showInputMessage="1" showErrorMessage="1" error="Invalid Entry - Bidder must enter a value that is greater than $0" sqref="F21:F22" xr:uid="{00000000-0002-0000-0200-000001000000}">
      <formula1>0</formula1>
      <formula2>9E+21</formula2>
    </dataValidation>
    <dataValidation type="decimal" allowBlank="1" showInputMessage="1" showErrorMessage="1" error="The Additional Options NYS Discount entered must be greater than 0%, or less than or equal to 100%." sqref="F23" xr:uid="{00000000-0002-0000-0200-000000000000}">
      <formula1>0.01</formula1>
      <formula2>100</formula2>
    </dataValidation>
  </dataValidations>
  <pageMargins left="0.25" right="0.25" top="0.5" bottom="0.25" header="0.3" footer="0.3"/>
  <pageSetup scale="93" fitToHeight="0" orientation="landscape" r:id="rId1"/>
  <rowBreaks count="1" manualBreakCount="1">
    <brk id="2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7941E-37F5-4CC8-8ED6-293D2857CA07}">
  <sheetPr>
    <tabColor rgb="FF7030A0"/>
    <pageSetUpPr autoPageBreaks="0" fitToPage="1"/>
  </sheetPr>
  <dimension ref="A1:H114"/>
  <sheetViews>
    <sheetView showGridLines="0" zoomScaleNormal="100" workbookViewId="0">
      <selection activeCell="A3" sqref="A3:D3"/>
    </sheetView>
  </sheetViews>
  <sheetFormatPr defaultColWidth="9.140625" defaultRowHeight="12.75" x14ac:dyDescent="0.2"/>
  <cols>
    <col min="1" max="1" width="19.140625" style="2" customWidth="1"/>
    <col min="2" max="2" width="61.7109375" style="2" customWidth="1"/>
    <col min="3" max="3" width="6.85546875" style="2" customWidth="1"/>
    <col min="4" max="4" width="33.7109375" style="2" customWidth="1"/>
    <col min="5" max="5" width="6.140625" style="5" customWidth="1"/>
    <col min="6" max="6" width="23.28515625" style="2" customWidth="1"/>
    <col min="7" max="9" width="20.7109375" style="2" customWidth="1"/>
    <col min="10" max="16384" width="9.140625" style="2"/>
  </cols>
  <sheetData>
    <row r="1" spans="1:7" ht="18" customHeight="1" x14ac:dyDescent="0.2">
      <c r="A1" s="300" t="str">
        <f>'A (Item 2-G)'!$A$1</f>
        <v>GROUP 40524-23254, SCHOOL BUSES (Statewide)                                                             Attachment 1 - Specifications and Pricing (Revised October 15, 2026)</v>
      </c>
      <c r="E1" s="2"/>
    </row>
    <row r="2" spans="1:7" s="20" customFormat="1" ht="18" customHeight="1" thickBot="1" x14ac:dyDescent="0.3">
      <c r="A2" s="302" t="str">
        <f>'Attachment 1 - Summary'!B2</f>
        <v>PC69863 Nesco Bus and Truck Sales, Inc.</v>
      </c>
      <c r="B2" s="21"/>
      <c r="C2" s="21"/>
      <c r="D2" s="21"/>
      <c r="E2" s="21"/>
      <c r="F2" s="21"/>
      <c r="G2" s="21"/>
    </row>
    <row r="3" spans="1:7" ht="23.25" x14ac:dyDescent="0.2">
      <c r="A3" s="589" t="s">
        <v>636</v>
      </c>
      <c r="B3" s="590"/>
      <c r="C3" s="590"/>
      <c r="D3" s="591"/>
      <c r="E3" s="255"/>
      <c r="F3" s="8"/>
      <c r="G3" s="8"/>
    </row>
    <row r="4" spans="1:7" ht="51" customHeight="1" thickBot="1" x14ac:dyDescent="0.25">
      <c r="A4" s="592" t="s">
        <v>637</v>
      </c>
      <c r="B4" s="593"/>
      <c r="C4" s="593"/>
      <c r="D4" s="594"/>
      <c r="E4" s="198"/>
      <c r="F4" s="8"/>
      <c r="G4" s="8"/>
    </row>
    <row r="5" spans="1:7" s="4" customFormat="1" ht="11.25" customHeight="1" thickBot="1" x14ac:dyDescent="0.3">
      <c r="A5" s="595"/>
      <c r="B5" s="596"/>
      <c r="C5" s="596"/>
      <c r="D5" s="596"/>
      <c r="E5" s="64"/>
      <c r="F5" s="191"/>
      <c r="G5" s="191"/>
    </row>
    <row r="6" spans="1:7" s="7" customFormat="1" ht="16.5" customHeight="1" thickBot="1" x14ac:dyDescent="0.25">
      <c r="A6" s="104" t="s">
        <v>638</v>
      </c>
      <c r="B6" s="104"/>
      <c r="C6" s="105"/>
      <c r="D6" s="106"/>
      <c r="E6" s="200"/>
      <c r="F6" s="473" t="s">
        <v>180</v>
      </c>
      <c r="G6" s="311"/>
    </row>
    <row r="7" spans="1:7" s="4" customFormat="1" ht="23.25" customHeight="1" thickBot="1" x14ac:dyDescent="0.3">
      <c r="A7" s="175" t="s">
        <v>6</v>
      </c>
      <c r="B7" s="173" t="s">
        <v>628</v>
      </c>
      <c r="C7" s="173"/>
      <c r="D7" s="201"/>
      <c r="E7" s="34"/>
      <c r="F7" s="317" t="s">
        <v>184</v>
      </c>
      <c r="G7" s="286"/>
    </row>
    <row r="8" spans="1:7" ht="80.25" customHeight="1" thickTop="1" thickBot="1" x14ac:dyDescent="0.25">
      <c r="A8" s="166" t="s">
        <v>185</v>
      </c>
      <c r="B8" s="102" t="s">
        <v>612</v>
      </c>
      <c r="C8" s="102"/>
      <c r="D8" s="103"/>
      <c r="E8" s="13"/>
      <c r="F8" s="324" t="s">
        <v>566</v>
      </c>
      <c r="G8" s="301"/>
    </row>
    <row r="9" spans="1:7" s="7" customFormat="1" ht="44.25" customHeight="1" thickTop="1" thickBot="1" x14ac:dyDescent="0.25">
      <c r="A9" s="166" t="s">
        <v>136</v>
      </c>
      <c r="B9" s="501" t="s">
        <v>191</v>
      </c>
      <c r="C9" s="501"/>
      <c r="D9" s="502"/>
      <c r="E9" s="13"/>
      <c r="F9" s="324" t="s">
        <v>639</v>
      </c>
      <c r="G9" s="311"/>
    </row>
    <row r="10" spans="1:7" ht="12.75" customHeight="1" thickTop="1" x14ac:dyDescent="0.2">
      <c r="A10" s="184" t="s">
        <v>563</v>
      </c>
      <c r="B10" s="498" t="s">
        <v>617</v>
      </c>
      <c r="C10" s="498"/>
      <c r="D10" s="499"/>
      <c r="E10" s="13"/>
      <c r="F10" s="329">
        <v>2024</v>
      </c>
      <c r="G10" s="301"/>
    </row>
    <row r="11" spans="1:7" ht="12.75" customHeight="1" x14ac:dyDescent="0.2">
      <c r="A11" s="162" t="s">
        <v>0</v>
      </c>
      <c r="B11" s="492" t="s">
        <v>618</v>
      </c>
      <c r="C11" s="492"/>
      <c r="D11" s="493"/>
      <c r="E11" s="13"/>
      <c r="F11" s="334" t="s">
        <v>180</v>
      </c>
      <c r="G11" s="301"/>
    </row>
    <row r="12" spans="1:7" x14ac:dyDescent="0.2">
      <c r="A12" s="162" t="s">
        <v>1</v>
      </c>
      <c r="B12" s="492" t="s">
        <v>619</v>
      </c>
      <c r="C12" s="492"/>
      <c r="D12" s="493"/>
      <c r="E12" s="13"/>
      <c r="F12" s="334" t="s">
        <v>559</v>
      </c>
      <c r="G12" s="301"/>
    </row>
    <row r="13" spans="1:7" ht="12.75" customHeight="1" thickBot="1" x14ac:dyDescent="0.25">
      <c r="A13" s="160" t="s">
        <v>2</v>
      </c>
      <c r="B13" s="495" t="s">
        <v>620</v>
      </c>
      <c r="C13" s="495"/>
      <c r="D13" s="496"/>
      <c r="E13" s="13"/>
      <c r="F13" s="336" t="s">
        <v>557</v>
      </c>
      <c r="G13" s="301"/>
    </row>
    <row r="14" spans="1:7" ht="12.75" customHeight="1" thickTop="1" x14ac:dyDescent="0.2">
      <c r="A14" s="184" t="s">
        <v>556</v>
      </c>
      <c r="B14" s="182" t="s">
        <v>621</v>
      </c>
      <c r="C14" s="182"/>
      <c r="D14" s="202"/>
      <c r="E14" s="13"/>
      <c r="F14" s="329">
        <v>2024</v>
      </c>
      <c r="G14" s="301"/>
    </row>
    <row r="15" spans="1:7" x14ac:dyDescent="0.2">
      <c r="A15" s="162" t="s">
        <v>3</v>
      </c>
      <c r="B15" s="93" t="s">
        <v>632</v>
      </c>
      <c r="C15" s="93"/>
      <c r="D15" s="94"/>
      <c r="E15" s="13"/>
      <c r="F15" s="334" t="s">
        <v>334</v>
      </c>
      <c r="G15" s="301"/>
    </row>
    <row r="16" spans="1:7" ht="25.5" x14ac:dyDescent="0.2">
      <c r="A16" s="162" t="s">
        <v>4</v>
      </c>
      <c r="B16" s="93" t="s">
        <v>640</v>
      </c>
      <c r="C16" s="93"/>
      <c r="D16" s="94"/>
      <c r="E16" s="13"/>
      <c r="F16" s="334" t="s">
        <v>335</v>
      </c>
      <c r="G16" s="301"/>
    </row>
    <row r="17" spans="1:8" ht="13.5" customHeight="1" thickBot="1" x14ac:dyDescent="0.25">
      <c r="A17" s="179" t="s">
        <v>5</v>
      </c>
      <c r="B17" s="96" t="s">
        <v>624</v>
      </c>
      <c r="C17" s="96"/>
      <c r="D17" s="97"/>
      <c r="E17" s="13"/>
      <c r="F17" s="341" t="s">
        <v>387</v>
      </c>
      <c r="G17" s="301"/>
    </row>
    <row r="18" spans="1:8" ht="29.25" customHeight="1" thickTop="1" x14ac:dyDescent="0.2">
      <c r="A18" s="162" t="s">
        <v>101</v>
      </c>
      <c r="B18" s="498" t="s">
        <v>635</v>
      </c>
      <c r="C18" s="498"/>
      <c r="D18" s="499"/>
      <c r="E18" s="13"/>
      <c r="F18" s="342">
        <v>100</v>
      </c>
      <c r="G18" s="301"/>
    </row>
    <row r="19" spans="1:8" ht="30.75" customHeight="1" thickBot="1" x14ac:dyDescent="0.25">
      <c r="A19" s="179" t="s">
        <v>43</v>
      </c>
      <c r="B19" s="597" t="s">
        <v>641</v>
      </c>
      <c r="C19" s="597"/>
      <c r="D19" s="598"/>
      <c r="E19" s="13"/>
      <c r="F19" s="343" t="s">
        <v>549</v>
      </c>
      <c r="G19" s="301"/>
    </row>
    <row r="20" spans="1:8" s="9" customFormat="1" ht="14.25" thickTop="1" thickBot="1" x14ac:dyDescent="0.25">
      <c r="E20" s="10"/>
      <c r="F20" s="345"/>
      <c r="G20" s="345"/>
      <c r="H20" s="10"/>
    </row>
    <row r="21" spans="1:8" s="11" customFormat="1" ht="16.5" customHeight="1" thickBot="1" x14ac:dyDescent="0.25">
      <c r="A21" s="104" t="s">
        <v>150</v>
      </c>
      <c r="B21" s="105"/>
      <c r="C21" s="105"/>
      <c r="D21" s="106"/>
      <c r="E21" s="200"/>
      <c r="F21" s="473" t="s">
        <v>180</v>
      </c>
      <c r="G21" s="350"/>
    </row>
    <row r="22" spans="1:8" s="4" customFormat="1" ht="23.25" customHeight="1" thickBot="1" x14ac:dyDescent="0.3">
      <c r="A22" s="175" t="s">
        <v>6</v>
      </c>
      <c r="B22" s="174" t="s">
        <v>165</v>
      </c>
      <c r="C22" s="173"/>
      <c r="D22" s="201"/>
      <c r="E22" s="34"/>
      <c r="F22" s="317" t="s">
        <v>184</v>
      </c>
      <c r="G22" s="286"/>
    </row>
    <row r="23" spans="1:8" ht="57" customHeight="1" thickTop="1" thickBot="1" x14ac:dyDescent="0.25">
      <c r="A23" s="171" t="s">
        <v>42</v>
      </c>
      <c r="B23" s="599" t="s">
        <v>161</v>
      </c>
      <c r="C23" s="600"/>
      <c r="D23" s="601"/>
      <c r="E23" s="13"/>
      <c r="F23" s="352">
        <f>302994.23*('PPI Adj'!L6)</f>
        <v>313296.03382000001</v>
      </c>
      <c r="G23" s="301"/>
    </row>
    <row r="24" spans="1:8" ht="26.25" customHeight="1" thickBot="1" x14ac:dyDescent="0.25">
      <c r="A24" s="162" t="s">
        <v>41</v>
      </c>
      <c r="B24" s="533" t="s">
        <v>163</v>
      </c>
      <c r="C24" s="534"/>
      <c r="D24" s="535"/>
      <c r="E24" s="1"/>
      <c r="F24" s="474">
        <v>20</v>
      </c>
      <c r="G24" s="301"/>
    </row>
    <row r="25" spans="1:8" ht="13.5" thickBot="1" x14ac:dyDescent="0.25">
      <c r="A25" s="156"/>
      <c r="B25" s="1"/>
      <c r="C25" s="1"/>
      <c r="D25" s="1"/>
      <c r="E25" s="205"/>
      <c r="F25" s="301"/>
      <c r="G25" s="301"/>
    </row>
    <row r="26" spans="1:8" s="7" customFormat="1" ht="15.75" customHeight="1" thickBot="1" x14ac:dyDescent="0.25">
      <c r="A26" s="256" t="s">
        <v>164</v>
      </c>
      <c r="B26" s="257"/>
      <c r="C26" s="257"/>
      <c r="D26" s="258"/>
      <c r="E26" s="206"/>
      <c r="F26" s="473" t="s">
        <v>180</v>
      </c>
      <c r="G26" s="311"/>
    </row>
    <row r="27" spans="1:8" s="3" customFormat="1" ht="37.5" customHeight="1" thickBot="1" x14ac:dyDescent="0.3">
      <c r="A27" s="52" t="s">
        <v>6</v>
      </c>
      <c r="B27" s="53" t="s">
        <v>7</v>
      </c>
      <c r="C27" s="539" t="s">
        <v>165</v>
      </c>
      <c r="D27" s="540"/>
      <c r="E27" s="34"/>
      <c r="F27" s="317" t="s">
        <v>184</v>
      </c>
      <c r="G27" s="361"/>
    </row>
    <row r="28" spans="1:8" s="13" customFormat="1" ht="39" thickBot="1" x14ac:dyDescent="0.3">
      <c r="A28" s="46" t="s">
        <v>8</v>
      </c>
      <c r="B28" s="24" t="s">
        <v>131</v>
      </c>
      <c r="C28" s="543" t="s">
        <v>118</v>
      </c>
      <c r="D28" s="544"/>
      <c r="E28" s="29"/>
      <c r="F28" s="343">
        <v>14500</v>
      </c>
      <c r="G28" s="364"/>
    </row>
    <row r="29" spans="1:8" s="13" customFormat="1" ht="15" customHeight="1" x14ac:dyDescent="0.25">
      <c r="A29" s="517" t="s">
        <v>21</v>
      </c>
      <c r="B29" s="519" t="s">
        <v>642</v>
      </c>
      <c r="C29" s="521" t="s">
        <v>67</v>
      </c>
      <c r="D29" s="522"/>
      <c r="E29" s="29"/>
      <c r="F29" s="367">
        <v>4</v>
      </c>
      <c r="G29" s="364"/>
    </row>
    <row r="30" spans="1:8" s="13" customFormat="1" ht="15.75" customHeight="1" thickBot="1" x14ac:dyDescent="0.3">
      <c r="A30" s="518"/>
      <c r="B30" s="520"/>
      <c r="C30" s="523" t="s">
        <v>68</v>
      </c>
      <c r="D30" s="524"/>
      <c r="E30" s="29"/>
      <c r="F30" s="343">
        <v>22</v>
      </c>
      <c r="G30" s="364"/>
    </row>
    <row r="31" spans="1:8" s="13" customFormat="1" ht="15.75" customHeight="1" thickBot="1" x14ac:dyDescent="0.3">
      <c r="A31" s="47" t="s">
        <v>123</v>
      </c>
      <c r="B31" s="25" t="s">
        <v>108</v>
      </c>
      <c r="C31" s="571"/>
      <c r="D31" s="572"/>
      <c r="E31" s="259"/>
      <c r="F31" s="373"/>
      <c r="G31" s="364"/>
    </row>
    <row r="32" spans="1:8" s="13" customFormat="1" ht="15" customHeight="1" x14ac:dyDescent="0.25">
      <c r="A32" s="517" t="s">
        <v>59</v>
      </c>
      <c r="B32" s="519"/>
      <c r="C32" s="521" t="s">
        <v>58</v>
      </c>
      <c r="D32" s="522"/>
      <c r="E32" s="29"/>
      <c r="F32" s="367">
        <v>158</v>
      </c>
      <c r="G32" s="364"/>
    </row>
    <row r="33" spans="1:7" s="13" customFormat="1" ht="15" customHeight="1" x14ac:dyDescent="0.25">
      <c r="A33" s="525"/>
      <c r="B33" s="526"/>
      <c r="C33" s="527" t="s">
        <v>57</v>
      </c>
      <c r="D33" s="528"/>
      <c r="E33" s="29"/>
      <c r="F33" s="334">
        <v>260.3</v>
      </c>
      <c r="G33" s="364"/>
    </row>
    <row r="34" spans="1:7" s="13" customFormat="1" ht="15" customHeight="1" x14ac:dyDescent="0.25">
      <c r="A34" s="525"/>
      <c r="B34" s="526"/>
      <c r="C34" s="527" t="s">
        <v>69</v>
      </c>
      <c r="D34" s="528"/>
      <c r="E34" s="29"/>
      <c r="F34" s="334">
        <v>90</v>
      </c>
      <c r="G34" s="364"/>
    </row>
    <row r="35" spans="1:7" s="13" customFormat="1" ht="15" customHeight="1" x14ac:dyDescent="0.25">
      <c r="A35" s="525"/>
      <c r="B35" s="526"/>
      <c r="C35" s="529" t="s">
        <v>70</v>
      </c>
      <c r="D35" s="530"/>
      <c r="E35" s="29"/>
      <c r="F35" s="334">
        <v>73</v>
      </c>
      <c r="G35" s="364"/>
    </row>
    <row r="36" spans="1:7" s="13" customFormat="1" ht="15.75" customHeight="1" thickBot="1" x14ac:dyDescent="0.3">
      <c r="A36" s="518"/>
      <c r="B36" s="520"/>
      <c r="C36" s="515" t="s">
        <v>111</v>
      </c>
      <c r="D36" s="516"/>
      <c r="E36" s="29"/>
      <c r="F36" s="343">
        <v>92.3</v>
      </c>
      <c r="G36" s="364"/>
    </row>
    <row r="37" spans="1:7" s="13" customFormat="1" ht="15" customHeight="1" x14ac:dyDescent="0.25">
      <c r="A37" s="517" t="s">
        <v>11</v>
      </c>
      <c r="B37" s="519"/>
      <c r="C37" s="521" t="s">
        <v>24</v>
      </c>
      <c r="D37" s="522"/>
      <c r="E37" s="29"/>
      <c r="F37" s="367">
        <v>5000</v>
      </c>
      <c r="G37" s="364"/>
    </row>
    <row r="38" spans="1:7" s="13" customFormat="1" ht="15.75" customHeight="1" thickBot="1" x14ac:dyDescent="0.3">
      <c r="A38" s="518"/>
      <c r="B38" s="520"/>
      <c r="C38" s="515" t="s">
        <v>22</v>
      </c>
      <c r="D38" s="516"/>
      <c r="E38" s="29"/>
      <c r="F38" s="343">
        <v>5000</v>
      </c>
      <c r="G38" s="364"/>
    </row>
    <row r="39" spans="1:7" s="13" customFormat="1" ht="15" customHeight="1" x14ac:dyDescent="0.25">
      <c r="A39" s="517" t="s">
        <v>16</v>
      </c>
      <c r="B39" s="519"/>
      <c r="C39" s="521" t="s">
        <v>24</v>
      </c>
      <c r="D39" s="522"/>
      <c r="E39" s="29"/>
      <c r="F39" s="367">
        <v>9600</v>
      </c>
      <c r="G39" s="364"/>
    </row>
    <row r="40" spans="1:7" s="13" customFormat="1" ht="15.75" customHeight="1" thickBot="1" x14ac:dyDescent="0.3">
      <c r="A40" s="518"/>
      <c r="B40" s="520"/>
      <c r="C40" s="523" t="s">
        <v>23</v>
      </c>
      <c r="D40" s="524"/>
      <c r="E40" s="29"/>
      <c r="F40" s="343">
        <v>9600</v>
      </c>
      <c r="G40" s="364"/>
    </row>
    <row r="41" spans="1:7" s="13" customFormat="1" ht="15.75" customHeight="1" thickBot="1" x14ac:dyDescent="0.3">
      <c r="A41" s="47" t="s">
        <v>52</v>
      </c>
      <c r="B41" s="25" t="s">
        <v>53</v>
      </c>
      <c r="C41" s="571"/>
      <c r="D41" s="572"/>
      <c r="E41" s="259"/>
      <c r="F41" s="373"/>
      <c r="G41" s="364"/>
    </row>
    <row r="42" spans="1:7" s="13" customFormat="1" ht="41.25" customHeight="1" thickBot="1" x14ac:dyDescent="0.3">
      <c r="A42" s="541" t="s">
        <v>12</v>
      </c>
      <c r="B42" s="542" t="s">
        <v>142</v>
      </c>
      <c r="C42" s="521" t="s">
        <v>205</v>
      </c>
      <c r="D42" s="522"/>
      <c r="E42" s="29"/>
      <c r="F42" s="367" t="s">
        <v>643</v>
      </c>
      <c r="G42" s="364"/>
    </row>
    <row r="43" spans="1:7" s="13" customFormat="1" ht="39" customHeight="1" thickBot="1" x14ac:dyDescent="0.3">
      <c r="A43" s="541"/>
      <c r="B43" s="542"/>
      <c r="C43" s="527" t="s">
        <v>518</v>
      </c>
      <c r="D43" s="528"/>
      <c r="E43" s="29"/>
      <c r="F43" s="334">
        <v>2680</v>
      </c>
      <c r="G43" s="364"/>
    </row>
    <row r="44" spans="1:7" s="13" customFormat="1" ht="52.5" customHeight="1" thickBot="1" x14ac:dyDescent="0.3">
      <c r="A44" s="541"/>
      <c r="B44" s="542"/>
      <c r="C44" s="527" t="s">
        <v>203</v>
      </c>
      <c r="D44" s="528"/>
      <c r="E44" s="29"/>
      <c r="F44" s="419" t="s">
        <v>643</v>
      </c>
      <c r="G44" s="364"/>
    </row>
    <row r="45" spans="1:7" s="13" customFormat="1" ht="44.25" customHeight="1" thickBot="1" x14ac:dyDescent="0.3">
      <c r="A45" s="541"/>
      <c r="B45" s="542"/>
      <c r="C45" s="527" t="s">
        <v>534</v>
      </c>
      <c r="D45" s="528"/>
      <c r="E45" s="29"/>
      <c r="F45" s="334">
        <v>2470</v>
      </c>
      <c r="G45" s="364"/>
    </row>
    <row r="46" spans="1:7" s="13" customFormat="1" ht="15.75" customHeight="1" thickBot="1" x14ac:dyDescent="0.3">
      <c r="A46" s="541"/>
      <c r="B46" s="542"/>
      <c r="C46" s="527" t="s">
        <v>112</v>
      </c>
      <c r="D46" s="528"/>
      <c r="E46" s="29"/>
      <c r="F46" s="334" t="s">
        <v>644</v>
      </c>
      <c r="G46" s="364"/>
    </row>
    <row r="47" spans="1:7" s="13" customFormat="1" ht="15.75" customHeight="1" thickBot="1" x14ac:dyDescent="0.3">
      <c r="A47" s="541"/>
      <c r="B47" s="542"/>
      <c r="C47" s="527" t="s">
        <v>113</v>
      </c>
      <c r="D47" s="528"/>
      <c r="E47" s="29"/>
      <c r="F47" s="334" t="s">
        <v>645</v>
      </c>
      <c r="G47" s="364"/>
    </row>
    <row r="48" spans="1:7" s="13" customFormat="1" ht="15.75" customHeight="1" thickBot="1" x14ac:dyDescent="0.3">
      <c r="A48" s="541"/>
      <c r="B48" s="542"/>
      <c r="C48" s="529" t="s">
        <v>114</v>
      </c>
      <c r="D48" s="530"/>
      <c r="E48" s="29"/>
      <c r="F48" s="334" t="s">
        <v>644</v>
      </c>
      <c r="G48" s="364"/>
    </row>
    <row r="49" spans="1:7" s="13" customFormat="1" ht="15.75" customHeight="1" thickBot="1" x14ac:dyDescent="0.3">
      <c r="A49" s="541"/>
      <c r="B49" s="542"/>
      <c r="C49" s="515" t="s">
        <v>115</v>
      </c>
      <c r="D49" s="516"/>
      <c r="E49" s="29"/>
      <c r="F49" s="343" t="s">
        <v>645</v>
      </c>
      <c r="G49" s="364"/>
    </row>
    <row r="50" spans="1:7" s="13" customFormat="1" ht="15" customHeight="1" x14ac:dyDescent="0.25">
      <c r="A50" s="517" t="s">
        <v>10</v>
      </c>
      <c r="B50" s="519" t="s">
        <v>62</v>
      </c>
      <c r="C50" s="521" t="s">
        <v>116</v>
      </c>
      <c r="D50" s="522"/>
      <c r="E50" s="29"/>
      <c r="F50" s="367">
        <v>1</v>
      </c>
      <c r="G50" s="364"/>
    </row>
    <row r="51" spans="1:7" s="13" customFormat="1" ht="15" customHeight="1" x14ac:dyDescent="0.25">
      <c r="A51" s="525"/>
      <c r="B51" s="526"/>
      <c r="C51" s="527" t="s">
        <v>117</v>
      </c>
      <c r="D51" s="528"/>
      <c r="E51" s="29"/>
      <c r="F51" s="334" t="s">
        <v>197</v>
      </c>
      <c r="G51" s="364"/>
    </row>
    <row r="52" spans="1:7" s="13" customFormat="1" ht="15.75" customHeight="1" thickBot="1" x14ac:dyDescent="0.3">
      <c r="A52" s="525"/>
      <c r="B52" s="526"/>
      <c r="C52" s="523" t="s">
        <v>71</v>
      </c>
      <c r="D52" s="524"/>
      <c r="E52" s="29"/>
      <c r="F52" s="329" t="s">
        <v>533</v>
      </c>
      <c r="G52" s="364"/>
    </row>
    <row r="53" spans="1:7" s="13" customFormat="1" ht="42.75" customHeight="1" thickBot="1" x14ac:dyDescent="0.3">
      <c r="A53" s="48" t="s">
        <v>185</v>
      </c>
      <c r="B53" s="23" t="s">
        <v>186</v>
      </c>
      <c r="C53" s="543" t="s">
        <v>187</v>
      </c>
      <c r="D53" s="544"/>
      <c r="E53" s="29"/>
      <c r="F53" s="367">
        <v>113</v>
      </c>
      <c r="G53" s="364"/>
    </row>
    <row r="54" spans="1:7" s="13" customFormat="1" ht="15" customHeight="1" x14ac:dyDescent="0.25">
      <c r="A54" s="517" t="s">
        <v>26</v>
      </c>
      <c r="B54" s="519" t="s">
        <v>646</v>
      </c>
      <c r="C54" s="529" t="s">
        <v>188</v>
      </c>
      <c r="D54" s="530"/>
      <c r="E54" s="29"/>
      <c r="F54" s="367">
        <v>1</v>
      </c>
      <c r="G54" s="364"/>
    </row>
    <row r="55" spans="1:7" s="13" customFormat="1" ht="15" customHeight="1" x14ac:dyDescent="0.25">
      <c r="A55" s="525"/>
      <c r="B55" s="526"/>
      <c r="C55" s="527" t="s">
        <v>189</v>
      </c>
      <c r="D55" s="528"/>
      <c r="E55" s="29"/>
      <c r="F55" s="334" t="s">
        <v>531</v>
      </c>
      <c r="G55" s="364"/>
    </row>
    <row r="56" spans="1:7" s="13" customFormat="1" ht="15.75" customHeight="1" thickBot="1" x14ac:dyDescent="0.3">
      <c r="A56" s="518"/>
      <c r="B56" s="520"/>
      <c r="C56" s="523" t="s">
        <v>190</v>
      </c>
      <c r="D56" s="524"/>
      <c r="E56" s="29"/>
      <c r="F56" s="343">
        <v>240</v>
      </c>
      <c r="G56" s="364"/>
    </row>
    <row r="57" spans="1:7" s="13" customFormat="1" ht="15.75" customHeight="1" thickBot="1" x14ac:dyDescent="0.3">
      <c r="A57" s="47" t="s">
        <v>44</v>
      </c>
      <c r="B57" s="25" t="s">
        <v>530</v>
      </c>
      <c r="C57" s="571"/>
      <c r="D57" s="572"/>
      <c r="E57" s="259"/>
      <c r="F57" s="384"/>
      <c r="G57" s="364"/>
    </row>
    <row r="58" spans="1:7" s="13" customFormat="1" ht="31.5" customHeight="1" thickBot="1" x14ac:dyDescent="0.3">
      <c r="A58" s="47" t="s">
        <v>44</v>
      </c>
      <c r="B58" s="25" t="s">
        <v>63</v>
      </c>
      <c r="C58" s="571"/>
      <c r="D58" s="572"/>
      <c r="E58" s="259"/>
      <c r="F58" s="384"/>
      <c r="G58" s="364"/>
    </row>
    <row r="59" spans="1:7" s="13" customFormat="1" ht="26.25" thickBot="1" x14ac:dyDescent="0.3">
      <c r="A59" s="47" t="s">
        <v>44</v>
      </c>
      <c r="B59" s="25" t="s">
        <v>64</v>
      </c>
      <c r="C59" s="571"/>
      <c r="D59" s="572"/>
      <c r="E59" s="259"/>
      <c r="F59" s="384"/>
      <c r="G59" s="364"/>
    </row>
    <row r="60" spans="1:7" s="13" customFormat="1" ht="15.75" customHeight="1" thickBot="1" x14ac:dyDescent="0.3">
      <c r="A60" s="47" t="s">
        <v>50</v>
      </c>
      <c r="B60" s="25" t="s">
        <v>65</v>
      </c>
      <c r="C60" s="571"/>
      <c r="D60" s="572"/>
      <c r="E60" s="259"/>
      <c r="F60" s="384"/>
      <c r="G60" s="364"/>
    </row>
    <row r="61" spans="1:7" s="13" customFormat="1" ht="15.75" customHeight="1" thickBot="1" x14ac:dyDescent="0.3">
      <c r="A61" s="47" t="s">
        <v>27</v>
      </c>
      <c r="B61" s="25"/>
      <c r="C61" s="543" t="s">
        <v>77</v>
      </c>
      <c r="D61" s="544"/>
      <c r="E61" s="29"/>
      <c r="F61" s="373" t="s">
        <v>346</v>
      </c>
      <c r="G61" s="364"/>
    </row>
    <row r="62" spans="1:7" s="13" customFormat="1" ht="31.5" customHeight="1" thickBot="1" x14ac:dyDescent="0.3">
      <c r="A62" s="47" t="s">
        <v>51</v>
      </c>
      <c r="B62" s="25" t="s">
        <v>79</v>
      </c>
      <c r="C62" s="571"/>
      <c r="D62" s="572"/>
      <c r="E62" s="259"/>
      <c r="F62" s="373"/>
      <c r="G62" s="364"/>
    </row>
    <row r="63" spans="1:7" s="13" customFormat="1" ht="42" customHeight="1" thickBot="1" x14ac:dyDescent="0.3">
      <c r="A63" s="47" t="s">
        <v>54</v>
      </c>
      <c r="B63" s="25" t="s">
        <v>80</v>
      </c>
      <c r="C63" s="571"/>
      <c r="D63" s="572"/>
      <c r="E63" s="259"/>
      <c r="F63" s="373"/>
      <c r="G63" s="364"/>
    </row>
    <row r="64" spans="1:7" s="13" customFormat="1" ht="40.15" customHeight="1" thickBot="1" x14ac:dyDescent="0.3">
      <c r="A64" s="47" t="s">
        <v>29</v>
      </c>
      <c r="B64" s="25" t="s">
        <v>529</v>
      </c>
      <c r="C64" s="571"/>
      <c r="D64" s="572"/>
      <c r="E64" s="259"/>
      <c r="F64" s="373"/>
      <c r="G64" s="364"/>
    </row>
    <row r="65" spans="1:7" s="13" customFormat="1" ht="41.25" customHeight="1" thickBot="1" x14ac:dyDescent="0.3">
      <c r="A65" s="47" t="s">
        <v>31</v>
      </c>
      <c r="B65" s="25" t="s">
        <v>94</v>
      </c>
      <c r="C65" s="543" t="s">
        <v>30</v>
      </c>
      <c r="D65" s="544"/>
      <c r="E65" s="29"/>
      <c r="F65" s="373" t="s">
        <v>347</v>
      </c>
      <c r="G65" s="364"/>
    </row>
    <row r="66" spans="1:7" s="13" customFormat="1" ht="26.25" thickBot="1" x14ac:dyDescent="0.3">
      <c r="A66" s="47" t="s">
        <v>55</v>
      </c>
      <c r="B66" s="25" t="s">
        <v>95</v>
      </c>
      <c r="C66" s="571"/>
      <c r="D66" s="572"/>
      <c r="E66" s="259"/>
      <c r="F66" s="373" t="s">
        <v>453</v>
      </c>
      <c r="G66" s="364"/>
    </row>
    <row r="67" spans="1:7" s="13" customFormat="1" ht="26.25" thickBot="1" x14ac:dyDescent="0.3">
      <c r="A67" s="47" t="s">
        <v>32</v>
      </c>
      <c r="B67" s="25" t="s">
        <v>96</v>
      </c>
      <c r="C67" s="543" t="s">
        <v>30</v>
      </c>
      <c r="D67" s="544"/>
      <c r="E67" s="29"/>
      <c r="F67" s="373" t="s">
        <v>348</v>
      </c>
      <c r="G67" s="364"/>
    </row>
    <row r="68" spans="1:7" s="13" customFormat="1" ht="51.75" thickBot="1" x14ac:dyDescent="0.3">
      <c r="A68" s="47" t="s">
        <v>56</v>
      </c>
      <c r="B68" s="25" t="s">
        <v>528</v>
      </c>
      <c r="C68" s="571"/>
      <c r="D68" s="572"/>
      <c r="E68" s="259"/>
      <c r="F68" s="373"/>
      <c r="G68" s="364"/>
    </row>
    <row r="69" spans="1:7" s="13" customFormat="1" ht="26.45" customHeight="1" thickBot="1" x14ac:dyDescent="0.3">
      <c r="A69" s="47" t="s">
        <v>48</v>
      </c>
      <c r="B69" s="25" t="s">
        <v>527</v>
      </c>
      <c r="C69" s="571"/>
      <c r="D69" s="572"/>
      <c r="E69" s="259"/>
      <c r="F69" s="373"/>
      <c r="G69" s="364"/>
    </row>
    <row r="70" spans="1:7" s="13" customFormat="1" ht="69" customHeight="1" thickBot="1" x14ac:dyDescent="0.3">
      <c r="A70" s="47" t="s">
        <v>49</v>
      </c>
      <c r="B70" s="25" t="s">
        <v>103</v>
      </c>
      <c r="C70" s="571" t="s">
        <v>526</v>
      </c>
      <c r="D70" s="572"/>
      <c r="E70" s="259"/>
      <c r="F70" s="373" t="s">
        <v>525</v>
      </c>
      <c r="G70" s="364"/>
    </row>
    <row r="71" spans="1:7" s="13" customFormat="1" ht="26.25" thickBot="1" x14ac:dyDescent="0.3">
      <c r="A71" s="47" t="s">
        <v>46</v>
      </c>
      <c r="B71" s="25" t="s">
        <v>81</v>
      </c>
      <c r="C71" s="571"/>
      <c r="D71" s="572"/>
      <c r="E71" s="259"/>
      <c r="F71" s="373"/>
      <c r="G71" s="364"/>
    </row>
    <row r="72" spans="1:7" ht="13.5" thickBot="1" x14ac:dyDescent="0.25">
      <c r="F72" s="301"/>
      <c r="G72" s="301"/>
    </row>
    <row r="73" spans="1:7" s="16" customFormat="1" ht="18" customHeight="1" thickBot="1" x14ac:dyDescent="0.3">
      <c r="A73" s="260" t="s">
        <v>627</v>
      </c>
      <c r="B73" s="117"/>
      <c r="C73" s="117"/>
      <c r="D73" s="118"/>
      <c r="E73" s="206"/>
      <c r="F73" s="573" t="s">
        <v>180</v>
      </c>
      <c r="G73" s="574"/>
    </row>
    <row r="74" spans="1:7" ht="34.5" customHeight="1" thickBot="1" x14ac:dyDescent="0.25">
      <c r="A74" s="586" t="s">
        <v>647</v>
      </c>
      <c r="B74" s="586"/>
      <c r="C74" s="586"/>
      <c r="D74" s="586"/>
      <c r="E74" s="261"/>
      <c r="F74" s="578" t="s">
        <v>184</v>
      </c>
      <c r="G74" s="580" t="s">
        <v>509</v>
      </c>
    </row>
    <row r="75" spans="1:7" s="3" customFormat="1" ht="25.5" x14ac:dyDescent="0.25">
      <c r="A75" s="49" t="s">
        <v>33</v>
      </c>
      <c r="B75" s="254" t="s">
        <v>7</v>
      </c>
      <c r="C75" s="560" t="s">
        <v>165</v>
      </c>
      <c r="D75" s="561"/>
      <c r="E75" s="34"/>
      <c r="F75" s="587"/>
      <c r="G75" s="588"/>
    </row>
    <row r="76" spans="1:7" s="13" customFormat="1" ht="39" thickBot="1" x14ac:dyDescent="0.3">
      <c r="A76" s="50" t="s">
        <v>83</v>
      </c>
      <c r="B76" s="18" t="s">
        <v>146</v>
      </c>
      <c r="C76" s="584"/>
      <c r="D76" s="585"/>
      <c r="E76" s="259"/>
      <c r="F76" s="393"/>
      <c r="G76" s="394">
        <f>-1117.06*('PPI Adj'!L6)</f>
        <v>-1155.0400400000001</v>
      </c>
    </row>
    <row r="77" spans="1:7" s="13" customFormat="1" ht="29.25" customHeight="1" thickBot="1" x14ac:dyDescent="0.3">
      <c r="A77" s="47" t="s">
        <v>34</v>
      </c>
      <c r="B77" s="25" t="s">
        <v>522</v>
      </c>
      <c r="C77" s="543" t="s">
        <v>30</v>
      </c>
      <c r="D77" s="544"/>
      <c r="E77" s="29"/>
      <c r="F77" s="395" t="s">
        <v>349</v>
      </c>
      <c r="G77" s="396">
        <f>588.39*('PPI Adj'!L6)</f>
        <v>608.39526000000001</v>
      </c>
    </row>
    <row r="78" spans="1:7" s="13" customFormat="1" ht="41.25" customHeight="1" thickBot="1" x14ac:dyDescent="0.3">
      <c r="A78" s="47" t="s">
        <v>35</v>
      </c>
      <c r="B78" s="25" t="s">
        <v>97</v>
      </c>
      <c r="C78" s="571"/>
      <c r="D78" s="572"/>
      <c r="E78" s="259"/>
      <c r="F78" s="395"/>
      <c r="G78" s="396">
        <f>288.67*('PPI Adj'!L6)</f>
        <v>298.48478</v>
      </c>
    </row>
    <row r="79" spans="1:7" s="13" customFormat="1" ht="39" thickBot="1" x14ac:dyDescent="0.3">
      <c r="A79" s="47" t="s">
        <v>36</v>
      </c>
      <c r="B79" s="25" t="s">
        <v>521</v>
      </c>
      <c r="C79" s="543" t="s">
        <v>99</v>
      </c>
      <c r="D79" s="544"/>
      <c r="E79" s="29"/>
      <c r="F79" s="395" t="s">
        <v>384</v>
      </c>
      <c r="G79" s="396">
        <f>320.74*('PPI Adj'!L6)</f>
        <v>331.64516000000003</v>
      </c>
    </row>
    <row r="80" spans="1:7" s="13" customFormat="1" ht="42.75" customHeight="1" x14ac:dyDescent="0.25">
      <c r="A80" s="517" t="s">
        <v>60</v>
      </c>
      <c r="B80" s="519" t="s">
        <v>520</v>
      </c>
      <c r="C80" s="521" t="s">
        <v>203</v>
      </c>
      <c r="D80" s="522"/>
      <c r="E80" s="29"/>
      <c r="F80" s="397" t="s">
        <v>368</v>
      </c>
      <c r="G80" s="569">
        <f>1201.12*('PPI Adj'!L6)</f>
        <v>1241.9580799999999</v>
      </c>
    </row>
    <row r="81" spans="1:7" s="13" customFormat="1" ht="30" customHeight="1" x14ac:dyDescent="0.25">
      <c r="A81" s="525"/>
      <c r="B81" s="526"/>
      <c r="C81" s="527" t="s">
        <v>517</v>
      </c>
      <c r="D81" s="528"/>
      <c r="E81" s="29"/>
      <c r="F81" s="399">
        <v>2470</v>
      </c>
      <c r="G81" s="583"/>
    </row>
    <row r="82" spans="1:7" s="13" customFormat="1" ht="15" customHeight="1" x14ac:dyDescent="0.25">
      <c r="A82" s="525"/>
      <c r="B82" s="526"/>
      <c r="C82" s="527" t="s">
        <v>114</v>
      </c>
      <c r="D82" s="528"/>
      <c r="E82" s="29"/>
      <c r="F82" s="399" t="s">
        <v>352</v>
      </c>
      <c r="G82" s="583"/>
    </row>
    <row r="83" spans="1:7" s="13" customFormat="1" ht="15.75" customHeight="1" thickBot="1" x14ac:dyDescent="0.3">
      <c r="A83" s="518"/>
      <c r="B83" s="520"/>
      <c r="C83" s="515" t="s">
        <v>115</v>
      </c>
      <c r="D83" s="516"/>
      <c r="E83" s="29"/>
      <c r="F83" s="393" t="s">
        <v>353</v>
      </c>
      <c r="G83" s="570"/>
    </row>
    <row r="84" spans="1:7" s="13" customFormat="1" ht="54.75" customHeight="1" x14ac:dyDescent="0.25">
      <c r="A84" s="517" t="s">
        <v>61</v>
      </c>
      <c r="B84" s="519" t="s">
        <v>519</v>
      </c>
      <c r="C84" s="521" t="s">
        <v>205</v>
      </c>
      <c r="D84" s="522"/>
      <c r="E84" s="29"/>
      <c r="F84" s="397" t="s">
        <v>368</v>
      </c>
      <c r="G84" s="569">
        <f>1685.54*('PPI Adj'!L6)</f>
        <v>1742.84836</v>
      </c>
    </row>
    <row r="85" spans="1:7" s="13" customFormat="1" ht="29.25" customHeight="1" x14ac:dyDescent="0.25">
      <c r="A85" s="525"/>
      <c r="B85" s="526"/>
      <c r="C85" s="527" t="s">
        <v>518</v>
      </c>
      <c r="D85" s="528"/>
      <c r="E85" s="29"/>
      <c r="F85" s="402">
        <v>2680</v>
      </c>
      <c r="G85" s="583"/>
    </row>
    <row r="86" spans="1:7" s="13" customFormat="1" ht="42.75" customHeight="1" x14ac:dyDescent="0.25">
      <c r="A86" s="525"/>
      <c r="B86" s="526"/>
      <c r="C86" s="527" t="s">
        <v>203</v>
      </c>
      <c r="D86" s="528"/>
      <c r="E86" s="29"/>
      <c r="F86" s="402" t="s">
        <v>368</v>
      </c>
      <c r="G86" s="583"/>
    </row>
    <row r="87" spans="1:7" s="13" customFormat="1" ht="29.25" customHeight="1" x14ac:dyDescent="0.25">
      <c r="A87" s="525"/>
      <c r="B87" s="526"/>
      <c r="C87" s="527" t="s">
        <v>517</v>
      </c>
      <c r="D87" s="528"/>
      <c r="E87" s="29"/>
      <c r="F87" s="399">
        <v>2470</v>
      </c>
      <c r="G87" s="583"/>
    </row>
    <row r="88" spans="1:7" s="13" customFormat="1" ht="15" customHeight="1" x14ac:dyDescent="0.25">
      <c r="A88" s="525"/>
      <c r="B88" s="526"/>
      <c r="C88" s="527" t="s">
        <v>112</v>
      </c>
      <c r="D88" s="528"/>
      <c r="E88" s="29"/>
      <c r="F88" s="399" t="s">
        <v>308</v>
      </c>
      <c r="G88" s="583"/>
    </row>
    <row r="89" spans="1:7" s="13" customFormat="1" ht="15" customHeight="1" x14ac:dyDescent="0.25">
      <c r="A89" s="525"/>
      <c r="B89" s="526"/>
      <c r="C89" s="527" t="s">
        <v>113</v>
      </c>
      <c r="D89" s="528"/>
      <c r="E89" s="29"/>
      <c r="F89" s="402" t="s">
        <v>356</v>
      </c>
      <c r="G89" s="583"/>
    </row>
    <row r="90" spans="1:7" s="13" customFormat="1" ht="15" customHeight="1" x14ac:dyDescent="0.25">
      <c r="A90" s="525"/>
      <c r="B90" s="526"/>
      <c r="C90" s="527" t="s">
        <v>114</v>
      </c>
      <c r="D90" s="528"/>
      <c r="E90" s="29"/>
      <c r="F90" s="402" t="s">
        <v>380</v>
      </c>
      <c r="G90" s="583"/>
    </row>
    <row r="91" spans="1:7" s="13" customFormat="1" ht="15.75" customHeight="1" thickBot="1" x14ac:dyDescent="0.3">
      <c r="A91" s="518"/>
      <c r="B91" s="520"/>
      <c r="C91" s="515" t="s">
        <v>115</v>
      </c>
      <c r="D91" s="516"/>
      <c r="E91" s="29"/>
      <c r="F91" s="393" t="s">
        <v>356</v>
      </c>
      <c r="G91" s="570"/>
    </row>
    <row r="92" spans="1:7" s="13" customFormat="1" ht="131.25" customHeight="1" thickBot="1" x14ac:dyDescent="0.3">
      <c r="A92" s="51" t="s">
        <v>86</v>
      </c>
      <c r="B92" s="17" t="s">
        <v>143</v>
      </c>
      <c r="C92" s="543" t="s">
        <v>104</v>
      </c>
      <c r="D92" s="544"/>
      <c r="E92" s="29"/>
      <c r="F92" s="397" t="s">
        <v>357</v>
      </c>
      <c r="G92" s="396">
        <f>946.74*('PPI Adj'!L6)</f>
        <v>978.92916000000002</v>
      </c>
    </row>
    <row r="93" spans="1:7" ht="16.5" customHeight="1" x14ac:dyDescent="0.2">
      <c r="A93" s="517" t="s">
        <v>13</v>
      </c>
      <c r="B93" s="519" t="s">
        <v>98</v>
      </c>
      <c r="C93" s="521" t="s">
        <v>30</v>
      </c>
      <c r="D93" s="522"/>
      <c r="E93" s="29"/>
      <c r="F93" s="397" t="s">
        <v>358</v>
      </c>
      <c r="G93" s="569">
        <f>11945.91*('PPI Adj'!L6)</f>
        <v>12352.07094</v>
      </c>
    </row>
    <row r="94" spans="1:7" ht="37.5" customHeight="1" thickBot="1" x14ac:dyDescent="0.25">
      <c r="A94" s="518"/>
      <c r="B94" s="520"/>
      <c r="C94" s="515" t="s">
        <v>109</v>
      </c>
      <c r="D94" s="516"/>
      <c r="E94" s="29"/>
      <c r="F94" s="393" t="s">
        <v>359</v>
      </c>
      <c r="G94" s="570"/>
    </row>
    <row r="95" spans="1:7" ht="69" customHeight="1" thickBot="1" x14ac:dyDescent="0.25">
      <c r="A95" s="47" t="s">
        <v>37</v>
      </c>
      <c r="B95" s="25" t="s">
        <v>135</v>
      </c>
      <c r="C95" s="571" t="s">
        <v>30</v>
      </c>
      <c r="D95" s="572"/>
      <c r="E95" s="259"/>
      <c r="F95" s="395" t="s">
        <v>375</v>
      </c>
      <c r="G95" s="396">
        <f>553*('PPI Adj'!L6)</f>
        <v>571.80200000000002</v>
      </c>
    </row>
    <row r="96" spans="1:7" ht="39" thickBot="1" x14ac:dyDescent="0.25">
      <c r="A96" s="47" t="s">
        <v>38</v>
      </c>
      <c r="B96" s="25" t="s">
        <v>87</v>
      </c>
      <c r="C96" s="571"/>
      <c r="D96" s="572"/>
      <c r="E96" s="259"/>
      <c r="F96" s="395"/>
      <c r="G96" s="396">
        <f>732.17*('PPI Adj'!L6)</f>
        <v>757.06377999999995</v>
      </c>
    </row>
    <row r="97" spans="1:8" ht="26.25" thickBot="1" x14ac:dyDescent="0.25">
      <c r="A97" s="47" t="s">
        <v>39</v>
      </c>
      <c r="B97" s="25" t="s">
        <v>106</v>
      </c>
      <c r="C97" s="543" t="s">
        <v>105</v>
      </c>
      <c r="D97" s="544"/>
      <c r="E97" s="29"/>
      <c r="F97" s="395" t="s">
        <v>207</v>
      </c>
      <c r="G97" s="396">
        <f>975.49*('PPI Adj'!L6)</f>
        <v>1008.65666</v>
      </c>
    </row>
    <row r="98" spans="1:8" ht="57" customHeight="1" thickBot="1" x14ac:dyDescent="0.25">
      <c r="A98" s="47" t="s">
        <v>90</v>
      </c>
      <c r="B98" s="25" t="s">
        <v>129</v>
      </c>
      <c r="C98" s="571" t="s">
        <v>515</v>
      </c>
      <c r="D98" s="572"/>
      <c r="E98" s="259"/>
      <c r="F98" s="395" t="s">
        <v>454</v>
      </c>
      <c r="G98" s="396">
        <f>436.73*('PPI Adj'!L6)</f>
        <v>451.57882000000001</v>
      </c>
    </row>
    <row r="99" spans="1:8" ht="43.5" customHeight="1" thickBot="1" x14ac:dyDescent="0.25">
      <c r="A99" s="47" t="s">
        <v>40</v>
      </c>
      <c r="B99" s="25" t="s">
        <v>137</v>
      </c>
      <c r="C99" s="543" t="s">
        <v>100</v>
      </c>
      <c r="D99" s="544"/>
      <c r="E99" s="29"/>
      <c r="F99" s="475" t="s">
        <v>360</v>
      </c>
      <c r="G99" s="476">
        <f>225.62*('PPI Adj'!L6)</f>
        <v>233.29108000000002</v>
      </c>
    </row>
    <row r="100" spans="1:8" ht="40.15" customHeight="1" thickBot="1" x14ac:dyDescent="0.25">
      <c r="A100" s="517" t="s">
        <v>14</v>
      </c>
      <c r="B100" s="519" t="s">
        <v>138</v>
      </c>
      <c r="C100" s="543" t="s">
        <v>139</v>
      </c>
      <c r="D100" s="544"/>
      <c r="E100" s="29"/>
      <c r="F100" s="402">
        <v>2</v>
      </c>
      <c r="G100" s="569">
        <f>13611.29*('PPI Adj'!L6)</f>
        <v>14074.07386</v>
      </c>
    </row>
    <row r="101" spans="1:8" ht="55.15" customHeight="1" thickBot="1" x14ac:dyDescent="0.25">
      <c r="A101" s="518"/>
      <c r="B101" s="520"/>
      <c r="C101" s="543" t="s">
        <v>274</v>
      </c>
      <c r="D101" s="544"/>
      <c r="E101" s="29"/>
      <c r="F101" s="393" t="s">
        <v>525</v>
      </c>
      <c r="G101" s="570"/>
    </row>
    <row r="102" spans="1:8" ht="69.75" customHeight="1" thickBot="1" x14ac:dyDescent="0.25">
      <c r="A102" s="47" t="s">
        <v>91</v>
      </c>
      <c r="B102" s="25" t="s">
        <v>144</v>
      </c>
      <c r="C102" s="543" t="s">
        <v>100</v>
      </c>
      <c r="D102" s="544"/>
      <c r="E102" s="29"/>
      <c r="F102" s="395" t="s">
        <v>361</v>
      </c>
      <c r="G102" s="396">
        <f>2179.93*('PPI Adj'!L6)</f>
        <v>2254.0476199999998</v>
      </c>
    </row>
    <row r="103" spans="1:8" ht="64.5" thickBot="1" x14ac:dyDescent="0.25">
      <c r="A103" s="47" t="s">
        <v>92</v>
      </c>
      <c r="B103" s="25" t="s">
        <v>145</v>
      </c>
      <c r="C103" s="571"/>
      <c r="D103" s="572"/>
      <c r="E103" s="259"/>
      <c r="F103" s="395"/>
      <c r="G103" s="396">
        <f>-2237.44*('PPI Adj'!L6)</f>
        <v>-2313.51296</v>
      </c>
    </row>
    <row r="104" spans="1:8" ht="13.5" thickBot="1" x14ac:dyDescent="0.25">
      <c r="F104" s="301"/>
      <c r="G104" s="301"/>
    </row>
    <row r="105" spans="1:8" s="16" customFormat="1" ht="18.75" customHeight="1" thickBot="1" x14ac:dyDescent="0.3">
      <c r="A105" s="104" t="s">
        <v>648</v>
      </c>
      <c r="B105" s="117"/>
      <c r="C105" s="117"/>
      <c r="D105" s="117"/>
      <c r="E105" s="206"/>
      <c r="F105" s="573" t="s">
        <v>180</v>
      </c>
      <c r="G105" s="574"/>
    </row>
    <row r="106" spans="1:8" s="16" customFormat="1" ht="34.5" customHeight="1" thickBot="1" x14ac:dyDescent="0.3">
      <c r="A106" s="575" t="s">
        <v>630</v>
      </c>
      <c r="B106" s="576"/>
      <c r="C106" s="576"/>
      <c r="D106" s="577"/>
      <c r="E106" s="262"/>
      <c r="F106" s="578" t="s">
        <v>184</v>
      </c>
      <c r="G106" s="580" t="s">
        <v>509</v>
      </c>
      <c r="H106" s="206"/>
    </row>
    <row r="107" spans="1:8" ht="26.25" customHeight="1" thickBot="1" x14ac:dyDescent="0.25">
      <c r="A107" s="135" t="s">
        <v>33</v>
      </c>
      <c r="B107" s="133" t="s">
        <v>7</v>
      </c>
      <c r="C107" s="582" t="s">
        <v>165</v>
      </c>
      <c r="D107" s="547"/>
      <c r="E107" s="34"/>
      <c r="F107" s="579"/>
      <c r="G107" s="581"/>
    </row>
    <row r="108" spans="1:8" ht="184.5" customHeight="1" thickBot="1" x14ac:dyDescent="0.25">
      <c r="A108" s="46" t="s">
        <v>85</v>
      </c>
      <c r="B108" s="263" t="s">
        <v>667</v>
      </c>
      <c r="C108" s="515" t="s">
        <v>104</v>
      </c>
      <c r="D108" s="516"/>
      <c r="E108" s="13"/>
      <c r="F108" s="395" t="s">
        <v>357</v>
      </c>
      <c r="G108" s="394">
        <v>6945.68</v>
      </c>
    </row>
    <row r="109" spans="1:8" ht="47.25" customHeight="1" thickBot="1" x14ac:dyDescent="0.25">
      <c r="A109" s="264" t="s">
        <v>20</v>
      </c>
      <c r="B109" s="265" t="s">
        <v>649</v>
      </c>
      <c r="C109" s="129"/>
      <c r="D109" s="266"/>
      <c r="E109" s="220"/>
      <c r="F109" s="452"/>
      <c r="G109" s="477">
        <v>1755.54</v>
      </c>
    </row>
    <row r="110" spans="1:8" ht="32.25" customHeight="1" thickBot="1" x14ac:dyDescent="0.25">
      <c r="A110" s="267" t="s">
        <v>82</v>
      </c>
      <c r="B110" s="15" t="s">
        <v>130</v>
      </c>
      <c r="C110" s="567"/>
      <c r="D110" s="568"/>
      <c r="E110" s="259"/>
      <c r="F110" s="393"/>
      <c r="G110" s="394">
        <v>1117.06</v>
      </c>
    </row>
    <row r="111" spans="1:8" ht="39" thickBot="1" x14ac:dyDescent="0.25">
      <c r="A111" s="47" t="s">
        <v>272</v>
      </c>
      <c r="B111" s="25" t="s">
        <v>506</v>
      </c>
      <c r="C111" s="91"/>
      <c r="D111" s="268"/>
      <c r="E111" s="29"/>
      <c r="F111" s="395"/>
      <c r="G111" s="396"/>
    </row>
    <row r="112" spans="1:8" x14ac:dyDescent="0.2">
      <c r="E112" s="2"/>
      <c r="F112" s="9"/>
    </row>
    <row r="113" spans="5:5" x14ac:dyDescent="0.2">
      <c r="E113" s="2"/>
    </row>
    <row r="114" spans="5:5" x14ac:dyDescent="0.2">
      <c r="E114" s="2"/>
    </row>
  </sheetData>
  <sheetProtection algorithmName="SHA-512" hashValue="obf0ifQKxhxTdHqYa/AaUdI2czcnQwdTcl141oYmO6U6gGPFSuvElscHDsIw0EXoqZXgwqKkDBnNZGVe60nMIQ==" saltValue="e+A4g7O0OK2+7rxvOvKdRg==" spinCount="100000" sheet="1" objects="1" scenarios="1"/>
  <dataConsolidate/>
  <mergeCells count="123">
    <mergeCell ref="A3:D3"/>
    <mergeCell ref="A4:D4"/>
    <mergeCell ref="A5:D5"/>
    <mergeCell ref="B9:D9"/>
    <mergeCell ref="B10:D10"/>
    <mergeCell ref="B11:D11"/>
    <mergeCell ref="C27:D27"/>
    <mergeCell ref="C28:D28"/>
    <mergeCell ref="A29:A30"/>
    <mergeCell ref="B29:B30"/>
    <mergeCell ref="C29:D29"/>
    <mergeCell ref="C30:D30"/>
    <mergeCell ref="B12:D12"/>
    <mergeCell ref="B13:D13"/>
    <mergeCell ref="B18:D18"/>
    <mergeCell ref="B19:D19"/>
    <mergeCell ref="B23:D23"/>
    <mergeCell ref="B24:D24"/>
    <mergeCell ref="A37:A38"/>
    <mergeCell ref="B37:B38"/>
    <mergeCell ref="C37:D37"/>
    <mergeCell ref="C38:D38"/>
    <mergeCell ref="A39:A40"/>
    <mergeCell ref="B39:B40"/>
    <mergeCell ref="C39:D39"/>
    <mergeCell ref="C40:D40"/>
    <mergeCell ref="C31:D31"/>
    <mergeCell ref="A32:A36"/>
    <mergeCell ref="B32:B36"/>
    <mergeCell ref="C32:D32"/>
    <mergeCell ref="C33:D33"/>
    <mergeCell ref="C34:D34"/>
    <mergeCell ref="C35:D35"/>
    <mergeCell ref="C36:D36"/>
    <mergeCell ref="C49:D49"/>
    <mergeCell ref="A50:A52"/>
    <mergeCell ref="B50:B52"/>
    <mergeCell ref="C50:D50"/>
    <mergeCell ref="C51:D51"/>
    <mergeCell ref="C52:D52"/>
    <mergeCell ref="C41:D41"/>
    <mergeCell ref="A42:A49"/>
    <mergeCell ref="B42:B49"/>
    <mergeCell ref="C42:D42"/>
    <mergeCell ref="C43:D43"/>
    <mergeCell ref="C44:D44"/>
    <mergeCell ref="C45:D45"/>
    <mergeCell ref="C46:D46"/>
    <mergeCell ref="C47:D47"/>
    <mergeCell ref="C48:D48"/>
    <mergeCell ref="C57:D57"/>
    <mergeCell ref="C58:D58"/>
    <mergeCell ref="C59:D59"/>
    <mergeCell ref="C60:D60"/>
    <mergeCell ref="C61:D61"/>
    <mergeCell ref="C62:D62"/>
    <mergeCell ref="C53:D53"/>
    <mergeCell ref="A54:A56"/>
    <mergeCell ref="B54:B56"/>
    <mergeCell ref="C54:D54"/>
    <mergeCell ref="C55:D55"/>
    <mergeCell ref="C56:D56"/>
    <mergeCell ref="F73:G73"/>
    <mergeCell ref="A74:D74"/>
    <mergeCell ref="F74:F75"/>
    <mergeCell ref="G74:G75"/>
    <mergeCell ref="C75:D75"/>
    <mergeCell ref="C63:D63"/>
    <mergeCell ref="C64:D64"/>
    <mergeCell ref="C65:D65"/>
    <mergeCell ref="C66:D66"/>
    <mergeCell ref="C67:D67"/>
    <mergeCell ref="C68:D68"/>
    <mergeCell ref="C76:D76"/>
    <mergeCell ref="C77:D77"/>
    <mergeCell ref="C78:D78"/>
    <mergeCell ref="C79:D79"/>
    <mergeCell ref="A80:A83"/>
    <mergeCell ref="B80:B83"/>
    <mergeCell ref="C80:D80"/>
    <mergeCell ref="C69:D69"/>
    <mergeCell ref="C70:D70"/>
    <mergeCell ref="C71:D71"/>
    <mergeCell ref="G80:G83"/>
    <mergeCell ref="C81:D81"/>
    <mergeCell ref="C82:D82"/>
    <mergeCell ref="C83:D83"/>
    <mergeCell ref="A84:A91"/>
    <mergeCell ref="B84:B91"/>
    <mergeCell ref="C84:D84"/>
    <mergeCell ref="G84:G91"/>
    <mergeCell ref="C85:D85"/>
    <mergeCell ref="C86:D86"/>
    <mergeCell ref="G93:G94"/>
    <mergeCell ref="C94:D94"/>
    <mergeCell ref="C95:D95"/>
    <mergeCell ref="C87:D87"/>
    <mergeCell ref="C88:D88"/>
    <mergeCell ref="C89:D89"/>
    <mergeCell ref="C90:D90"/>
    <mergeCell ref="C91:D91"/>
    <mergeCell ref="C92:D92"/>
    <mergeCell ref="C96:D96"/>
    <mergeCell ref="C97:D97"/>
    <mergeCell ref="C98:D98"/>
    <mergeCell ref="C99:D99"/>
    <mergeCell ref="A100:A101"/>
    <mergeCell ref="B100:B101"/>
    <mergeCell ref="C100:D100"/>
    <mergeCell ref="A93:A94"/>
    <mergeCell ref="B93:B94"/>
    <mergeCell ref="C93:D93"/>
    <mergeCell ref="C108:D108"/>
    <mergeCell ref="C110:D110"/>
    <mergeCell ref="G100:G101"/>
    <mergeCell ref="C101:D101"/>
    <mergeCell ref="C102:D102"/>
    <mergeCell ref="C103:D103"/>
    <mergeCell ref="F105:G105"/>
    <mergeCell ref="A106:D106"/>
    <mergeCell ref="F106:F107"/>
    <mergeCell ref="G106:G107"/>
    <mergeCell ref="C107:D107"/>
  </mergeCells>
  <conditionalFormatting sqref="C28:E69 F28:F71 C70 C71:E71 C76:E97 F76:G98 C98 F99 C99:E100 C101 F101 C102:G103 C108:F108 C110:G111">
    <cfRule type="expression" dxfId="173" priority="6">
      <formula>#REF!="NO"</formula>
    </cfRule>
  </conditionalFormatting>
  <conditionalFormatting sqref="F8:F19">
    <cfRule type="expression" dxfId="172" priority="5">
      <formula>#REF!="NO"</formula>
    </cfRule>
  </conditionalFormatting>
  <conditionalFormatting sqref="F23:F24">
    <cfRule type="expression" dxfId="171" priority="3">
      <formula>#REF!="NO"</formula>
    </cfRule>
  </conditionalFormatting>
  <conditionalFormatting sqref="F109">
    <cfRule type="expression" dxfId="170" priority="2">
      <formula>#REF!="NO"</formula>
    </cfRule>
  </conditionalFormatting>
  <conditionalFormatting sqref="G108:G109">
    <cfRule type="expression" dxfId="169" priority="1">
      <formula>#REF!="NO"</formula>
    </cfRule>
  </conditionalFormatting>
  <dataValidations count="3">
    <dataValidation type="decimal" operator="greaterThanOrEqual" allowBlank="1" showInputMessage="1" showErrorMessage="1" error="The Pickup Allowance cannot be a negative number." sqref="F18" xr:uid="{4399DC68-B852-4822-B682-75D2A796CDAF}">
      <formula1>0</formula1>
    </dataValidation>
    <dataValidation type="decimal" allowBlank="1" showInputMessage="1" showErrorMessage="1" error="The Additional Options NYS Discount entered must be greater than 0%, or less than or equal to 100%." sqref="F24" xr:uid="{C4F8D980-C489-49FC-B9BD-B40C770FC221}">
      <formula1>0.01</formula1>
      <formula2>100</formula2>
    </dataValidation>
    <dataValidation type="decimal" allowBlank="1" showInputMessage="1" showErrorMessage="1" error="Invalid Entry - Bidder must enter a value that is greater than $0" sqref="F23" xr:uid="{13CCD776-7AFA-442E-A0C6-A35888D318BD}">
      <formula1>0</formula1>
      <formula2>9E+21</formula2>
    </dataValidation>
  </dataValidations>
  <pageMargins left="0.25" right="0.25" top="0.75" bottom="0.25" header="0.3" footer="0.3"/>
  <pageSetup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66FF"/>
    <pageSetUpPr autoPageBreaks="0" fitToPage="1"/>
  </sheetPr>
  <dimension ref="A1:H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2" style="385" customWidth="1"/>
    <col min="7" max="7" width="2.7109375" style="2" customWidth="1"/>
    <col min="8" max="16384" width="9.140625" style="2"/>
  </cols>
  <sheetData>
    <row r="1" spans="1:8" ht="18" customHeight="1" x14ac:dyDescent="0.2">
      <c r="A1" s="300" t="str">
        <f>'A (Item 2-G)'!$A$1</f>
        <v>GROUP 40524-23254, SCHOOL BUSES (Statewide)                                                             Attachment 1 - Specifications and Pricing (Revised October 15, 2026)</v>
      </c>
      <c r="F1" s="301"/>
    </row>
    <row r="2" spans="1:8" s="20" customFormat="1" ht="18" customHeight="1" thickBot="1" x14ac:dyDescent="0.3">
      <c r="A2" s="302" t="str">
        <f>'Attachment 1 - Summary'!B2</f>
        <v>PC69863 Nesco Bus and Truck Sales, Inc.</v>
      </c>
      <c r="B2" s="21"/>
      <c r="C2" s="21"/>
      <c r="D2" s="21"/>
      <c r="E2" s="21"/>
      <c r="F2" s="303"/>
      <c r="G2" s="21"/>
      <c r="H2" s="21"/>
    </row>
    <row r="3" spans="1:8" ht="24" thickBot="1" x14ac:dyDescent="0.25">
      <c r="A3" s="503" t="s">
        <v>171</v>
      </c>
      <c r="B3" s="504"/>
      <c r="C3" s="504"/>
      <c r="D3" s="505"/>
      <c r="E3" s="8"/>
      <c r="F3" s="304"/>
      <c r="G3" s="8"/>
    </row>
    <row r="4" spans="1:8" ht="51" customHeight="1" thickBot="1" x14ac:dyDescent="0.25">
      <c r="A4" s="506" t="s">
        <v>172</v>
      </c>
      <c r="B4" s="507"/>
      <c r="C4" s="507"/>
      <c r="D4" s="508"/>
      <c r="E4" s="8"/>
      <c r="F4" s="304"/>
      <c r="G4" s="8"/>
    </row>
    <row r="5" spans="1:8" s="4" customFormat="1" ht="11.25" customHeight="1" thickBot="1" x14ac:dyDescent="0.3">
      <c r="A5" s="64"/>
      <c r="B5" s="64"/>
      <c r="C5" s="64"/>
      <c r="D5" s="64"/>
      <c r="E5" s="64"/>
      <c r="F5" s="425"/>
      <c r="G5" s="64"/>
    </row>
    <row r="6" spans="1:8" s="7" customFormat="1" ht="32.25" thickBot="1" x14ac:dyDescent="0.25">
      <c r="A6" s="509" t="s">
        <v>151</v>
      </c>
      <c r="B6" s="510"/>
      <c r="C6" s="510"/>
      <c r="D6" s="511"/>
      <c r="E6" s="31"/>
      <c r="F6" s="414" t="s">
        <v>329</v>
      </c>
      <c r="G6" s="31"/>
    </row>
    <row r="7" spans="1:8" s="4" customFormat="1" ht="15" customHeight="1" thickBot="1" x14ac:dyDescent="0.3">
      <c r="A7" s="37" t="s">
        <v>6</v>
      </c>
      <c r="B7" s="22" t="s">
        <v>165</v>
      </c>
      <c r="C7" s="27"/>
      <c r="D7" s="35"/>
      <c r="E7" s="32"/>
      <c r="F7" s="415" t="s">
        <v>17</v>
      </c>
      <c r="G7" s="32"/>
    </row>
    <row r="8" spans="1:8" ht="52.5" thickTop="1" thickBot="1" x14ac:dyDescent="0.25">
      <c r="A8" s="38" t="s">
        <v>9</v>
      </c>
      <c r="B8" s="500" t="s">
        <v>152</v>
      </c>
      <c r="C8" s="501"/>
      <c r="D8" s="502"/>
      <c r="E8" s="13"/>
      <c r="F8" s="324" t="s">
        <v>378</v>
      </c>
      <c r="G8" s="13"/>
    </row>
    <row r="9" spans="1:8" s="7" customFormat="1" ht="44.25" customHeight="1" thickTop="1" thickBot="1" x14ac:dyDescent="0.25">
      <c r="A9" s="38" t="s">
        <v>136</v>
      </c>
      <c r="B9" s="500" t="s">
        <v>191</v>
      </c>
      <c r="C9" s="501"/>
      <c r="D9" s="502"/>
      <c r="E9" s="13"/>
      <c r="F9" s="324" t="s">
        <v>379</v>
      </c>
      <c r="G9" s="13"/>
    </row>
    <row r="10" spans="1:8" ht="12.75" customHeight="1" thickTop="1" x14ac:dyDescent="0.2">
      <c r="A10" s="39" t="s">
        <v>0</v>
      </c>
      <c r="B10" s="491" t="s">
        <v>154</v>
      </c>
      <c r="C10" s="492"/>
      <c r="D10" s="493"/>
      <c r="E10" s="13"/>
      <c r="F10" s="334" t="s">
        <v>304</v>
      </c>
      <c r="G10" s="13"/>
    </row>
    <row r="11" spans="1:8" x14ac:dyDescent="0.2">
      <c r="A11" s="39" t="s">
        <v>1</v>
      </c>
      <c r="B11" s="491" t="s">
        <v>153</v>
      </c>
      <c r="C11" s="492"/>
      <c r="D11" s="493"/>
      <c r="E11" s="13"/>
      <c r="F11" s="334">
        <v>3500</v>
      </c>
      <c r="G11" s="13"/>
    </row>
    <row r="12" spans="1:8" ht="12.75" customHeight="1" thickBot="1" x14ac:dyDescent="0.25">
      <c r="A12" s="40" t="s">
        <v>2</v>
      </c>
      <c r="B12" s="494" t="s">
        <v>155</v>
      </c>
      <c r="C12" s="495"/>
      <c r="D12" s="496"/>
      <c r="E12" s="13"/>
      <c r="F12" s="336" t="s">
        <v>333</v>
      </c>
      <c r="G12" s="13"/>
    </row>
    <row r="13" spans="1:8" ht="13.5" thickTop="1" x14ac:dyDescent="0.2">
      <c r="A13" s="39" t="s">
        <v>3</v>
      </c>
      <c r="B13" s="491" t="s">
        <v>157</v>
      </c>
      <c r="C13" s="492"/>
      <c r="D13" s="493"/>
      <c r="E13" s="13"/>
      <c r="F13" s="334" t="s">
        <v>334</v>
      </c>
      <c r="G13" s="13"/>
    </row>
    <row r="14" spans="1:8" x14ac:dyDescent="0.2">
      <c r="A14" s="39" t="s">
        <v>4</v>
      </c>
      <c r="B14" s="491" t="s">
        <v>156</v>
      </c>
      <c r="C14" s="492"/>
      <c r="D14" s="493"/>
      <c r="E14" s="13"/>
      <c r="F14" s="334" t="s">
        <v>335</v>
      </c>
      <c r="G14" s="13"/>
    </row>
    <row r="15" spans="1:8" ht="15.75" customHeight="1" thickBot="1" x14ac:dyDescent="0.25">
      <c r="A15" s="41" t="s">
        <v>5</v>
      </c>
      <c r="B15" s="494" t="s">
        <v>158</v>
      </c>
      <c r="C15" s="495"/>
      <c r="D15" s="496"/>
      <c r="E15" s="13"/>
      <c r="F15" s="341" t="s">
        <v>365</v>
      </c>
      <c r="G15" s="13"/>
    </row>
    <row r="16" spans="1:8"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32.25" thickBot="1" x14ac:dyDescent="0.25">
      <c r="A19" s="509" t="s">
        <v>150</v>
      </c>
      <c r="B19" s="510"/>
      <c r="C19" s="510"/>
      <c r="D19" s="511"/>
      <c r="E19" s="31"/>
      <c r="F19" s="414" t="s">
        <v>329</v>
      </c>
      <c r="G19" s="31"/>
    </row>
    <row r="20" spans="1:7" s="4" customFormat="1" ht="15" customHeight="1" thickBot="1" x14ac:dyDescent="0.3">
      <c r="A20" s="52" t="s">
        <v>6</v>
      </c>
      <c r="B20" s="26" t="s">
        <v>165</v>
      </c>
      <c r="C20" s="28"/>
      <c r="D20" s="45"/>
      <c r="E20" s="32"/>
      <c r="F20" s="415" t="s">
        <v>17</v>
      </c>
      <c r="G20" s="32"/>
    </row>
    <row r="21" spans="1:7" ht="56.25" customHeight="1" x14ac:dyDescent="0.2">
      <c r="A21" s="42" t="s">
        <v>42</v>
      </c>
      <c r="B21" s="512" t="s">
        <v>161</v>
      </c>
      <c r="C21" s="513"/>
      <c r="D21" s="514"/>
      <c r="E21" s="13"/>
      <c r="F21" s="416">
        <f>67935.09*('PPI Adj'!D6)</f>
        <v>79280.250029999996</v>
      </c>
      <c r="G21" s="13"/>
    </row>
    <row r="22" spans="1:7" ht="42.75" customHeight="1" x14ac:dyDescent="0.2">
      <c r="A22" s="39" t="s">
        <v>20</v>
      </c>
      <c r="B22" s="491" t="s">
        <v>162</v>
      </c>
      <c r="C22" s="492"/>
      <c r="D22" s="493"/>
      <c r="E22" s="13"/>
      <c r="F22" s="416">
        <f>1641*('PPI Adj'!D6)</f>
        <v>1915.047</v>
      </c>
      <c r="G22" s="13"/>
    </row>
    <row r="23" spans="1:7" ht="33" customHeight="1" thickBot="1" x14ac:dyDescent="0.25">
      <c r="A23" s="43" t="s">
        <v>41</v>
      </c>
      <c r="B23" s="533" t="s">
        <v>163</v>
      </c>
      <c r="C23" s="534"/>
      <c r="D23" s="535"/>
      <c r="E23" s="1"/>
      <c r="F23" s="354">
        <v>20</v>
      </c>
      <c r="G23" s="1"/>
    </row>
    <row r="24" spans="1:7" ht="13.5" thickBot="1" x14ac:dyDescent="0.25">
      <c r="A24" s="69"/>
      <c r="B24" s="1"/>
      <c r="C24" s="1"/>
      <c r="D24" s="1"/>
      <c r="E24" s="1"/>
      <c r="F24" s="418"/>
      <c r="G24" s="1"/>
    </row>
    <row r="25" spans="1:7" s="7" customFormat="1" ht="32.25" thickBot="1" x14ac:dyDescent="0.25">
      <c r="A25" s="536" t="s">
        <v>164</v>
      </c>
      <c r="B25" s="537"/>
      <c r="C25" s="537"/>
      <c r="D25" s="538"/>
      <c r="E25" s="33"/>
      <c r="F25" s="414" t="s">
        <v>329</v>
      </c>
      <c r="G25" s="33"/>
    </row>
    <row r="26" spans="1:7" s="3" customFormat="1" ht="15" customHeight="1" thickBot="1" x14ac:dyDescent="0.3">
      <c r="A26" s="52" t="s">
        <v>6</v>
      </c>
      <c r="B26" s="53" t="s">
        <v>7</v>
      </c>
      <c r="C26" s="539" t="s">
        <v>165</v>
      </c>
      <c r="D26" s="540"/>
      <c r="E26" s="34"/>
      <c r="F26" s="415" t="s">
        <v>17</v>
      </c>
      <c r="G26" s="34"/>
    </row>
    <row r="27" spans="1:7" s="13" customFormat="1" ht="39" thickBot="1" x14ac:dyDescent="0.3">
      <c r="A27" s="46" t="s">
        <v>8</v>
      </c>
      <c r="B27" s="24" t="s">
        <v>131</v>
      </c>
      <c r="C27" s="515" t="s">
        <v>118</v>
      </c>
      <c r="D27" s="516"/>
      <c r="E27" s="29"/>
      <c r="F27" s="373">
        <v>12300</v>
      </c>
      <c r="G27" s="29"/>
    </row>
    <row r="28" spans="1:7" s="13" customFormat="1" x14ac:dyDescent="0.25">
      <c r="A28" s="517" t="s">
        <v>21</v>
      </c>
      <c r="B28" s="519" t="s">
        <v>173</v>
      </c>
      <c r="C28" s="521" t="s">
        <v>67</v>
      </c>
      <c r="D28" s="522"/>
      <c r="E28" s="29"/>
      <c r="F28" s="367">
        <v>4</v>
      </c>
      <c r="G28" s="29"/>
    </row>
    <row r="29" spans="1:7" s="13" customFormat="1" ht="13.5" thickBot="1" x14ac:dyDescent="0.3">
      <c r="A29" s="518"/>
      <c r="B29" s="520"/>
      <c r="C29" s="515" t="s">
        <v>68</v>
      </c>
      <c r="D29" s="516"/>
      <c r="E29" s="29"/>
      <c r="F29" s="343">
        <v>24</v>
      </c>
      <c r="G29" s="29"/>
    </row>
    <row r="30" spans="1:7" s="13" customFormat="1" ht="13.5" thickBot="1" x14ac:dyDescent="0.3">
      <c r="A30" s="47" t="s">
        <v>123</v>
      </c>
      <c r="B30" s="25" t="s">
        <v>108</v>
      </c>
      <c r="C30" s="531"/>
      <c r="D30" s="532"/>
      <c r="E30" s="30"/>
      <c r="F30" s="373"/>
      <c r="G30" s="30"/>
    </row>
    <row r="31" spans="1:7" s="13" customFormat="1" x14ac:dyDescent="0.25">
      <c r="A31" s="517" t="s">
        <v>59</v>
      </c>
      <c r="B31" s="519"/>
      <c r="C31" s="521" t="s">
        <v>58</v>
      </c>
      <c r="D31" s="522"/>
      <c r="E31" s="29"/>
      <c r="F31" s="367">
        <v>139</v>
      </c>
      <c r="G31" s="29"/>
    </row>
    <row r="32" spans="1:7" s="13" customFormat="1" x14ac:dyDescent="0.25">
      <c r="A32" s="525"/>
      <c r="B32" s="526"/>
      <c r="C32" s="527" t="s">
        <v>57</v>
      </c>
      <c r="D32" s="528"/>
      <c r="E32" s="29"/>
      <c r="F32" s="334">
        <v>237.8</v>
      </c>
      <c r="G32" s="29"/>
    </row>
    <row r="33" spans="1:7" s="13" customFormat="1" x14ac:dyDescent="0.25">
      <c r="A33" s="525"/>
      <c r="B33" s="526"/>
      <c r="C33" s="527" t="s">
        <v>69</v>
      </c>
      <c r="D33" s="528"/>
      <c r="E33" s="29"/>
      <c r="F33" s="334">
        <v>90</v>
      </c>
      <c r="G33" s="29"/>
    </row>
    <row r="34" spans="1:7" s="13" customFormat="1" x14ac:dyDescent="0.25">
      <c r="A34" s="525"/>
      <c r="B34" s="526"/>
      <c r="C34" s="529" t="s">
        <v>70</v>
      </c>
      <c r="D34" s="530"/>
      <c r="E34" s="29"/>
      <c r="F34" s="334">
        <v>73</v>
      </c>
      <c r="G34" s="29"/>
    </row>
    <row r="35" spans="1:7" s="13" customFormat="1" ht="13.5" thickBot="1" x14ac:dyDescent="0.3">
      <c r="A35" s="518"/>
      <c r="B35" s="520"/>
      <c r="C35" s="515" t="s">
        <v>111</v>
      </c>
      <c r="D35" s="516"/>
      <c r="E35" s="29"/>
      <c r="F35" s="343">
        <v>74</v>
      </c>
      <c r="G35" s="29"/>
    </row>
    <row r="36" spans="1:7" s="13" customFormat="1" x14ac:dyDescent="0.25">
      <c r="A36" s="517" t="s">
        <v>11</v>
      </c>
      <c r="B36" s="519"/>
      <c r="C36" s="521" t="s">
        <v>24</v>
      </c>
      <c r="D36" s="522"/>
      <c r="E36" s="29"/>
      <c r="F36" s="367">
        <v>4300</v>
      </c>
      <c r="G36" s="29"/>
    </row>
    <row r="37" spans="1:7" s="13" customFormat="1" ht="13.5" thickBot="1" x14ac:dyDescent="0.3">
      <c r="A37" s="518"/>
      <c r="B37" s="520"/>
      <c r="C37" s="515" t="s">
        <v>22</v>
      </c>
      <c r="D37" s="516"/>
      <c r="E37" s="29"/>
      <c r="F37" s="343">
        <v>4300</v>
      </c>
      <c r="G37" s="29"/>
    </row>
    <row r="38" spans="1:7" s="13" customFormat="1" x14ac:dyDescent="0.25">
      <c r="A38" s="517" t="s">
        <v>16</v>
      </c>
      <c r="B38" s="519"/>
      <c r="C38" s="521" t="s">
        <v>24</v>
      </c>
      <c r="D38" s="522"/>
      <c r="E38" s="29"/>
      <c r="F38" s="367">
        <v>8600</v>
      </c>
      <c r="G38" s="29"/>
    </row>
    <row r="39" spans="1:7" s="13" customFormat="1" ht="13.5" thickBot="1" x14ac:dyDescent="0.3">
      <c r="A39" s="518"/>
      <c r="B39" s="520"/>
      <c r="C39" s="523" t="s">
        <v>23</v>
      </c>
      <c r="D39" s="524"/>
      <c r="E39" s="29"/>
      <c r="F39" s="343">
        <v>8600</v>
      </c>
      <c r="G39" s="29"/>
    </row>
    <row r="40" spans="1:7" s="13" customFormat="1" ht="13.5" thickBot="1" x14ac:dyDescent="0.3">
      <c r="A40" s="47" t="s">
        <v>52</v>
      </c>
      <c r="B40" s="25" t="s">
        <v>53</v>
      </c>
      <c r="C40" s="531"/>
      <c r="D40" s="532"/>
      <c r="E40" s="30"/>
      <c r="F40" s="373"/>
      <c r="G40" s="30"/>
    </row>
    <row r="41" spans="1:7" s="13" customFormat="1" ht="13.5" customHeight="1" thickBot="1" x14ac:dyDescent="0.3">
      <c r="A41" s="541" t="s">
        <v>12</v>
      </c>
      <c r="B41" s="542" t="s">
        <v>142</v>
      </c>
      <c r="C41" s="521" t="s">
        <v>174</v>
      </c>
      <c r="D41" s="522"/>
      <c r="E41" s="29"/>
      <c r="F41" s="367" t="s">
        <v>368</v>
      </c>
      <c r="G41" s="29"/>
    </row>
    <row r="42" spans="1:7" s="13" customFormat="1" ht="13.5" customHeight="1" thickBot="1" x14ac:dyDescent="0.3">
      <c r="A42" s="541"/>
      <c r="B42" s="542"/>
      <c r="C42" s="527" t="s">
        <v>175</v>
      </c>
      <c r="D42" s="528"/>
      <c r="E42" s="29"/>
      <c r="F42" s="334">
        <v>2680</v>
      </c>
      <c r="G42" s="29"/>
    </row>
    <row r="43" spans="1:7" s="13" customFormat="1" ht="13.5" customHeight="1" thickBot="1" x14ac:dyDescent="0.3">
      <c r="A43" s="541"/>
      <c r="B43" s="542"/>
      <c r="C43" s="527" t="s">
        <v>176</v>
      </c>
      <c r="D43" s="528"/>
      <c r="E43" s="29"/>
      <c r="F43" s="419" t="s">
        <v>368</v>
      </c>
      <c r="G43" s="29"/>
    </row>
    <row r="44" spans="1:7" s="13" customFormat="1" ht="13.5" customHeight="1" thickBot="1" x14ac:dyDescent="0.3">
      <c r="A44" s="541"/>
      <c r="B44" s="542"/>
      <c r="C44" s="527" t="s">
        <v>177</v>
      </c>
      <c r="D44" s="528"/>
      <c r="E44" s="29"/>
      <c r="F44" s="334">
        <v>2470</v>
      </c>
      <c r="G44" s="29"/>
    </row>
    <row r="45" spans="1:7" s="13" customFormat="1" ht="13.5" customHeight="1" thickBot="1" x14ac:dyDescent="0.3">
      <c r="A45" s="541"/>
      <c r="B45" s="542"/>
      <c r="C45" s="527" t="s">
        <v>112</v>
      </c>
      <c r="D45" s="528"/>
      <c r="E45" s="29"/>
      <c r="F45" s="334" t="s">
        <v>308</v>
      </c>
      <c r="G45" s="29"/>
    </row>
    <row r="46" spans="1:7" s="13" customFormat="1" ht="13.5" customHeight="1" thickBot="1" x14ac:dyDescent="0.3">
      <c r="A46" s="541"/>
      <c r="B46" s="542"/>
      <c r="C46" s="527" t="s">
        <v>113</v>
      </c>
      <c r="D46" s="528"/>
      <c r="E46" s="29"/>
      <c r="F46" s="334" t="s">
        <v>340</v>
      </c>
      <c r="G46" s="29"/>
    </row>
    <row r="47" spans="1:7" s="13" customFormat="1" ht="13.5" customHeight="1" thickBot="1" x14ac:dyDescent="0.3">
      <c r="A47" s="541"/>
      <c r="B47" s="542"/>
      <c r="C47" s="529" t="s">
        <v>114</v>
      </c>
      <c r="D47" s="530"/>
      <c r="E47" s="29"/>
      <c r="F47" s="334" t="s">
        <v>380</v>
      </c>
      <c r="G47" s="29"/>
    </row>
    <row r="48" spans="1:7" s="13" customFormat="1" ht="13.5" customHeight="1" thickBot="1" x14ac:dyDescent="0.3">
      <c r="A48" s="541"/>
      <c r="B48" s="542"/>
      <c r="C48" s="515" t="s">
        <v>115</v>
      </c>
      <c r="D48" s="516"/>
      <c r="E48" s="29"/>
      <c r="F48" s="343" t="s">
        <v>340</v>
      </c>
      <c r="G48" s="29"/>
    </row>
    <row r="49" spans="1:7" s="13" customFormat="1" x14ac:dyDescent="0.25">
      <c r="A49" s="517" t="s">
        <v>10</v>
      </c>
      <c r="B49" s="519" t="s">
        <v>62</v>
      </c>
      <c r="C49" s="521" t="s">
        <v>116</v>
      </c>
      <c r="D49" s="522"/>
      <c r="E49" s="29"/>
      <c r="F49" s="367">
        <v>6</v>
      </c>
      <c r="G49" s="29"/>
    </row>
    <row r="50" spans="1:7" s="13" customFormat="1" x14ac:dyDescent="0.25">
      <c r="A50" s="525"/>
      <c r="B50" s="526"/>
      <c r="C50" s="527" t="s">
        <v>117</v>
      </c>
      <c r="D50" s="528"/>
      <c r="E50" s="29"/>
      <c r="F50" s="334" t="s">
        <v>341</v>
      </c>
      <c r="G50" s="29"/>
    </row>
    <row r="51" spans="1:7" s="13" customFormat="1" ht="13.5" thickBot="1" x14ac:dyDescent="0.3">
      <c r="A51" s="525"/>
      <c r="B51" s="526"/>
      <c r="C51" s="523" t="s">
        <v>71</v>
      </c>
      <c r="D51" s="524"/>
      <c r="E51" s="29"/>
      <c r="F51" s="329" t="s">
        <v>381</v>
      </c>
      <c r="G51" s="29"/>
    </row>
    <row r="52" spans="1:7" s="13" customFormat="1" ht="78" customHeight="1" thickBot="1" x14ac:dyDescent="0.3">
      <c r="A52" s="48" t="s">
        <v>9</v>
      </c>
      <c r="B52" s="23" t="s">
        <v>140</v>
      </c>
      <c r="C52" s="529"/>
      <c r="D52" s="530"/>
      <c r="E52" s="29"/>
      <c r="F52" s="367"/>
      <c r="G52" s="29"/>
    </row>
    <row r="53" spans="1:7" s="13" customFormat="1" x14ac:dyDescent="0.25">
      <c r="A53" s="517" t="s">
        <v>25</v>
      </c>
      <c r="B53" s="519" t="s">
        <v>93</v>
      </c>
      <c r="C53" s="521" t="s">
        <v>72</v>
      </c>
      <c r="D53" s="522"/>
      <c r="E53" s="29"/>
      <c r="F53" s="367" t="s">
        <v>343</v>
      </c>
      <c r="G53" s="29"/>
    </row>
    <row r="54" spans="1:7" s="13" customFormat="1" ht="68.099999999999994" customHeight="1" thickBot="1" x14ac:dyDescent="0.3">
      <c r="A54" s="518"/>
      <c r="B54" s="520"/>
      <c r="C54" s="515" t="s">
        <v>73</v>
      </c>
      <c r="D54" s="516"/>
      <c r="E54" s="29"/>
      <c r="F54" s="343">
        <v>220</v>
      </c>
      <c r="G54" s="29"/>
    </row>
    <row r="55" spans="1:7" s="13" customFormat="1" x14ac:dyDescent="0.25">
      <c r="A55" s="517" t="s">
        <v>26</v>
      </c>
      <c r="B55" s="519"/>
      <c r="C55" s="521" t="s">
        <v>74</v>
      </c>
      <c r="D55" s="522"/>
      <c r="E55" s="29"/>
      <c r="F55" s="367" t="s">
        <v>382</v>
      </c>
      <c r="G55" s="29"/>
    </row>
    <row r="56" spans="1:7" s="13" customFormat="1" x14ac:dyDescent="0.25">
      <c r="A56" s="525"/>
      <c r="B56" s="526"/>
      <c r="C56" s="527" t="s">
        <v>75</v>
      </c>
      <c r="D56" s="528"/>
      <c r="E56" s="29"/>
      <c r="F56" s="334">
        <v>2</v>
      </c>
      <c r="G56" s="29"/>
    </row>
    <row r="57" spans="1:7" s="13" customFormat="1" ht="13.5" thickBot="1" x14ac:dyDescent="0.3">
      <c r="A57" s="518"/>
      <c r="B57" s="520"/>
      <c r="C57" s="515" t="s">
        <v>76</v>
      </c>
      <c r="D57" s="516"/>
      <c r="E57" s="29"/>
      <c r="F57" s="343" t="s">
        <v>383</v>
      </c>
      <c r="G57" s="29"/>
    </row>
    <row r="58" spans="1:7" s="13" customFormat="1" ht="15.95" customHeight="1" thickBot="1" x14ac:dyDescent="0.3">
      <c r="A58" s="47" t="s">
        <v>44</v>
      </c>
      <c r="B58" s="25" t="s">
        <v>45</v>
      </c>
      <c r="C58" s="531"/>
      <c r="D58" s="532"/>
      <c r="E58" s="30"/>
      <c r="F58" s="384"/>
      <c r="G58" s="30"/>
    </row>
    <row r="59" spans="1:7" s="13" customFormat="1" ht="26.45" customHeight="1" thickBot="1" x14ac:dyDescent="0.3">
      <c r="A59" s="47" t="s">
        <v>44</v>
      </c>
      <c r="B59" s="25" t="s">
        <v>63</v>
      </c>
      <c r="C59" s="531"/>
      <c r="D59" s="532"/>
      <c r="E59" s="30"/>
      <c r="F59" s="384"/>
      <c r="G59" s="30"/>
    </row>
    <row r="60" spans="1:7" s="13" customFormat="1" ht="28.5" customHeight="1" thickBot="1" x14ac:dyDescent="0.3">
      <c r="A60" s="47" t="s">
        <v>44</v>
      </c>
      <c r="B60" s="25" t="s">
        <v>64</v>
      </c>
      <c r="C60" s="531"/>
      <c r="D60" s="532"/>
      <c r="E60" s="30"/>
      <c r="F60" s="384"/>
      <c r="G60" s="30"/>
    </row>
    <row r="61" spans="1:7" s="13" customFormat="1" ht="14.45" customHeight="1" thickBot="1" x14ac:dyDescent="0.3">
      <c r="A61" s="47" t="s">
        <v>50</v>
      </c>
      <c r="B61" s="25" t="s">
        <v>65</v>
      </c>
      <c r="C61" s="531"/>
      <c r="D61" s="532"/>
      <c r="E61" s="30"/>
      <c r="F61" s="384"/>
      <c r="G61" s="30"/>
    </row>
    <row r="62" spans="1:7" s="13" customFormat="1" ht="13.5" thickBot="1" x14ac:dyDescent="0.3">
      <c r="A62" s="47" t="s">
        <v>27</v>
      </c>
      <c r="B62" s="25"/>
      <c r="C62" s="543" t="s">
        <v>77</v>
      </c>
      <c r="D62" s="544"/>
      <c r="E62" s="29"/>
      <c r="F62" s="373" t="s">
        <v>346</v>
      </c>
      <c r="G62" s="29"/>
    </row>
    <row r="63" spans="1:7" s="13" customFormat="1" ht="39" thickBot="1" x14ac:dyDescent="0.3">
      <c r="A63" s="47" t="s">
        <v>28</v>
      </c>
      <c r="B63" s="25" t="s">
        <v>179</v>
      </c>
      <c r="C63" s="543" t="s">
        <v>78</v>
      </c>
      <c r="D63" s="544"/>
      <c r="E63" s="29"/>
      <c r="F63" s="373">
        <v>33</v>
      </c>
      <c r="G63" s="29"/>
    </row>
    <row r="64" spans="1:7" s="13" customFormat="1" ht="39.6" customHeight="1" thickBot="1" x14ac:dyDescent="0.3">
      <c r="A64" s="47" t="s">
        <v>51</v>
      </c>
      <c r="B64" s="25" t="s">
        <v>79</v>
      </c>
      <c r="C64" s="531"/>
      <c r="D64" s="532"/>
      <c r="E64" s="30"/>
      <c r="F64" s="373"/>
      <c r="G64" s="30"/>
    </row>
    <row r="65" spans="1:7" s="13" customFormat="1" ht="41.1" customHeight="1" thickBot="1" x14ac:dyDescent="0.3">
      <c r="A65" s="47" t="s">
        <v>54</v>
      </c>
      <c r="B65" s="25" t="s">
        <v>80</v>
      </c>
      <c r="C65" s="531"/>
      <c r="D65" s="532"/>
      <c r="E65" s="30"/>
      <c r="F65" s="373"/>
      <c r="G65" s="30"/>
    </row>
    <row r="66" spans="1:7" s="13" customFormat="1" ht="78.95" customHeight="1" thickBot="1" x14ac:dyDescent="0.3">
      <c r="A66" s="47" t="s">
        <v>29</v>
      </c>
      <c r="B66" s="25" t="s">
        <v>132</v>
      </c>
      <c r="C66" s="531"/>
      <c r="D66" s="532"/>
      <c r="E66" s="30"/>
      <c r="F66" s="373"/>
      <c r="G66" s="30"/>
    </row>
    <row r="67" spans="1:7" s="13" customFormat="1" ht="39" thickBot="1" x14ac:dyDescent="0.3">
      <c r="A67" s="47" t="s">
        <v>31</v>
      </c>
      <c r="B67" s="25" t="s">
        <v>94</v>
      </c>
      <c r="C67" s="543" t="s">
        <v>30</v>
      </c>
      <c r="D67" s="544"/>
      <c r="E67" s="29"/>
      <c r="F67" s="373" t="s">
        <v>347</v>
      </c>
      <c r="G67" s="29"/>
    </row>
    <row r="68" spans="1:7" s="13" customFormat="1" ht="28.5" customHeight="1" thickBot="1" x14ac:dyDescent="0.3">
      <c r="A68" s="47" t="s">
        <v>55</v>
      </c>
      <c r="B68" s="25" t="s">
        <v>95</v>
      </c>
      <c r="C68" s="531"/>
      <c r="D68" s="532"/>
      <c r="E68" s="30"/>
      <c r="F68" s="373"/>
      <c r="G68" s="30"/>
    </row>
    <row r="69" spans="1:7" s="13" customFormat="1" ht="26.25" thickBot="1" x14ac:dyDescent="0.3">
      <c r="A69" s="47" t="s">
        <v>32</v>
      </c>
      <c r="B69" s="25" t="s">
        <v>96</v>
      </c>
      <c r="C69" s="543" t="s">
        <v>30</v>
      </c>
      <c r="D69" s="544"/>
      <c r="E69" s="29"/>
      <c r="F69" s="373" t="s">
        <v>348</v>
      </c>
      <c r="G69" s="29"/>
    </row>
    <row r="70" spans="1:7" s="13" customFormat="1" ht="42.6" customHeight="1" thickBot="1" x14ac:dyDescent="0.3">
      <c r="A70" s="47" t="s">
        <v>56</v>
      </c>
      <c r="B70" s="25" t="s">
        <v>167</v>
      </c>
      <c r="C70" s="531"/>
      <c r="D70" s="532"/>
      <c r="E70" s="30"/>
      <c r="F70" s="373"/>
      <c r="G70" s="30"/>
    </row>
    <row r="71" spans="1:7" s="13" customFormat="1" ht="27.95" customHeight="1" thickBot="1" x14ac:dyDescent="0.3">
      <c r="A71" s="47" t="s">
        <v>48</v>
      </c>
      <c r="B71" s="25" t="s">
        <v>47</v>
      </c>
      <c r="C71" s="531"/>
      <c r="D71" s="532"/>
      <c r="E71" s="30"/>
      <c r="F71" s="373"/>
      <c r="G71" s="30"/>
    </row>
    <row r="72" spans="1:7" s="13" customFormat="1" ht="26.25" thickBot="1" x14ac:dyDescent="0.3">
      <c r="A72" s="47" t="s">
        <v>49</v>
      </c>
      <c r="B72" s="25" t="s">
        <v>103</v>
      </c>
      <c r="C72" s="531"/>
      <c r="D72" s="532"/>
      <c r="E72" s="30"/>
      <c r="F72" s="373"/>
      <c r="G72" s="30"/>
    </row>
    <row r="73" spans="1:7" s="13" customFormat="1" ht="26.25" thickBot="1" x14ac:dyDescent="0.3">
      <c r="A73" s="47" t="s">
        <v>46</v>
      </c>
      <c r="B73" s="25" t="s">
        <v>81</v>
      </c>
      <c r="C73" s="531"/>
      <c r="D73" s="532"/>
      <c r="E73" s="30"/>
      <c r="F73" s="373"/>
      <c r="G73" s="30"/>
    </row>
    <row r="74" spans="1:7" ht="13.5" thickBot="1" x14ac:dyDescent="0.25"/>
    <row r="75" spans="1:7" s="16" customFormat="1" ht="32.25" thickBot="1" x14ac:dyDescent="0.3">
      <c r="A75" s="536" t="s">
        <v>168</v>
      </c>
      <c r="B75" s="537"/>
      <c r="C75" s="537"/>
      <c r="D75" s="538"/>
      <c r="E75" s="33"/>
      <c r="F75" s="414" t="s">
        <v>329</v>
      </c>
      <c r="G75" s="33"/>
    </row>
    <row r="76" spans="1:7" s="3" customFormat="1" ht="15" customHeight="1" thickBot="1" x14ac:dyDescent="0.3">
      <c r="A76" s="545" t="s">
        <v>169</v>
      </c>
      <c r="B76" s="546"/>
      <c r="C76" s="546"/>
      <c r="D76" s="547"/>
      <c r="E76" s="34"/>
      <c r="F76" s="415" t="s">
        <v>17</v>
      </c>
      <c r="G76" s="34"/>
    </row>
    <row r="77" spans="1:7" s="13" customFormat="1" x14ac:dyDescent="0.25">
      <c r="A77" s="548" t="s">
        <v>82</v>
      </c>
      <c r="B77" s="549"/>
      <c r="C77" s="549"/>
      <c r="D77" s="550"/>
      <c r="E77" s="30"/>
      <c r="F77" s="420">
        <f>1010*('PPI Adj'!D6)</f>
        <v>1178.67</v>
      </c>
      <c r="G77" s="30"/>
    </row>
    <row r="78" spans="1:7" s="13" customFormat="1" x14ac:dyDescent="0.25">
      <c r="A78" s="548" t="s">
        <v>83</v>
      </c>
      <c r="B78" s="549"/>
      <c r="C78" s="549"/>
      <c r="D78" s="550"/>
      <c r="E78" s="30"/>
      <c r="F78" s="420">
        <f>-1010*('PPI Adj'!D6)</f>
        <v>-1178.67</v>
      </c>
      <c r="G78" s="30"/>
    </row>
    <row r="79" spans="1:7" s="13" customFormat="1" x14ac:dyDescent="0.25">
      <c r="A79" s="551" t="s">
        <v>34</v>
      </c>
      <c r="B79" s="552"/>
      <c r="C79" s="552"/>
      <c r="D79" s="553"/>
      <c r="E79" s="29"/>
      <c r="F79" s="421">
        <f>532*('PPI Adj'!D6)</f>
        <v>620.84400000000005</v>
      </c>
      <c r="G79" s="29"/>
    </row>
    <row r="80" spans="1:7" s="13" customFormat="1" x14ac:dyDescent="0.25">
      <c r="A80" s="551" t="s">
        <v>35</v>
      </c>
      <c r="B80" s="552"/>
      <c r="C80" s="552"/>
      <c r="D80" s="553"/>
      <c r="E80" s="30"/>
      <c r="F80" s="421">
        <f>261*('PPI Adj'!D6)</f>
        <v>304.58699999999999</v>
      </c>
      <c r="G80" s="30"/>
    </row>
    <row r="81" spans="1:7" s="13" customFormat="1" x14ac:dyDescent="0.25">
      <c r="A81" s="551" t="s">
        <v>36</v>
      </c>
      <c r="B81" s="552"/>
      <c r="C81" s="552"/>
      <c r="D81" s="553"/>
      <c r="E81" s="29"/>
      <c r="F81" s="421">
        <f>290*('PPI Adj'!D6)</f>
        <v>338.43</v>
      </c>
      <c r="G81" s="29"/>
    </row>
    <row r="82" spans="1:7" s="13" customFormat="1" x14ac:dyDescent="0.25">
      <c r="A82" s="551" t="s">
        <v>60</v>
      </c>
      <c r="B82" s="552"/>
      <c r="C82" s="552"/>
      <c r="D82" s="553"/>
      <c r="E82" s="29"/>
      <c r="F82" s="421">
        <f>1086*('PPI Adj'!D6)</f>
        <v>1267.3620000000001</v>
      </c>
      <c r="G82" s="29"/>
    </row>
    <row r="83" spans="1:7" s="13" customFormat="1" x14ac:dyDescent="0.25">
      <c r="A83" s="551" t="s">
        <v>61</v>
      </c>
      <c r="B83" s="552"/>
      <c r="C83" s="552"/>
      <c r="D83" s="553"/>
      <c r="E83" s="29"/>
      <c r="F83" s="421">
        <f>1524*('PPI Adj'!D6)</f>
        <v>1778.508</v>
      </c>
      <c r="G83" s="29"/>
    </row>
    <row r="84" spans="1:7" s="13" customFormat="1" x14ac:dyDescent="0.25">
      <c r="A84" s="551" t="s">
        <v>86</v>
      </c>
      <c r="B84" s="552"/>
      <c r="C84" s="552"/>
      <c r="D84" s="553"/>
      <c r="E84" s="29"/>
      <c r="F84" s="421">
        <f>856*('PPI Adj'!D6)</f>
        <v>998.952</v>
      </c>
      <c r="G84" s="29"/>
    </row>
    <row r="85" spans="1:7" x14ac:dyDescent="0.2">
      <c r="A85" s="551" t="s">
        <v>85</v>
      </c>
      <c r="B85" s="552"/>
      <c r="C85" s="552"/>
      <c r="D85" s="553"/>
      <c r="E85" s="29"/>
      <c r="F85" s="421" t="s">
        <v>181</v>
      </c>
      <c r="G85" s="29"/>
    </row>
    <row r="86" spans="1:7" x14ac:dyDescent="0.2">
      <c r="A86" s="551" t="s">
        <v>13</v>
      </c>
      <c r="B86" s="552"/>
      <c r="C86" s="552"/>
      <c r="D86" s="553"/>
      <c r="E86" s="29"/>
      <c r="F86" s="421">
        <f>10801*('PPI Adj'!D6)</f>
        <v>12604.767</v>
      </c>
      <c r="G86" s="29"/>
    </row>
    <row r="87" spans="1:7" x14ac:dyDescent="0.2">
      <c r="A87" s="551" t="s">
        <v>37</v>
      </c>
      <c r="B87" s="552"/>
      <c r="C87" s="552"/>
      <c r="D87" s="553"/>
      <c r="E87" s="30"/>
      <c r="F87" s="421">
        <f>500*('PPI Adj'!D6)</f>
        <v>583.5</v>
      </c>
      <c r="G87" s="30"/>
    </row>
    <row r="88" spans="1:7" x14ac:dyDescent="0.2">
      <c r="A88" s="551" t="s">
        <v>38</v>
      </c>
      <c r="B88" s="552"/>
      <c r="C88" s="552"/>
      <c r="D88" s="553"/>
      <c r="E88" s="30"/>
      <c r="F88" s="421">
        <f>662*('PPI Adj'!D6)</f>
        <v>772.55399999999997</v>
      </c>
      <c r="G88" s="29"/>
    </row>
    <row r="89" spans="1:7" x14ac:dyDescent="0.2">
      <c r="A89" s="551" t="s">
        <v>39</v>
      </c>
      <c r="B89" s="552"/>
      <c r="C89" s="552"/>
      <c r="D89" s="553"/>
      <c r="E89" s="29"/>
      <c r="F89" s="421">
        <f>882*('PPI Adj'!D6)</f>
        <v>1029.2940000000001</v>
      </c>
      <c r="G89" s="29"/>
    </row>
    <row r="90" spans="1:7" x14ac:dyDescent="0.2">
      <c r="A90" s="551" t="s">
        <v>90</v>
      </c>
      <c r="B90" s="552"/>
      <c r="C90" s="552"/>
      <c r="D90" s="553"/>
      <c r="E90" s="30"/>
      <c r="F90" s="421">
        <f>394.87*('PPI Adj'!D6)</f>
        <v>460.81328999999999</v>
      </c>
      <c r="G90" s="30"/>
    </row>
    <row r="91" spans="1:7" x14ac:dyDescent="0.2">
      <c r="A91" s="551" t="s">
        <v>88</v>
      </c>
      <c r="B91" s="552"/>
      <c r="C91" s="552"/>
      <c r="D91" s="553"/>
      <c r="E91" s="29"/>
      <c r="F91" s="421" t="s">
        <v>181</v>
      </c>
      <c r="G91" s="29"/>
    </row>
    <row r="92" spans="1:7" x14ac:dyDescent="0.2">
      <c r="A92" s="551" t="s">
        <v>40</v>
      </c>
      <c r="B92" s="552"/>
      <c r="C92" s="552"/>
      <c r="D92" s="553"/>
      <c r="E92" s="29"/>
      <c r="F92" s="421">
        <f>204*('PPI Adj'!D6)</f>
        <v>238.06800000000001</v>
      </c>
      <c r="G92" s="29"/>
    </row>
    <row r="93" spans="1:7" x14ac:dyDescent="0.2">
      <c r="A93" s="551" t="s">
        <v>14</v>
      </c>
      <c r="B93" s="552"/>
      <c r="C93" s="552"/>
      <c r="D93" s="553"/>
      <c r="E93" s="29"/>
      <c r="F93" s="421">
        <f>8330*('PPI Adj'!D6)</f>
        <v>9721.11</v>
      </c>
      <c r="G93" s="29"/>
    </row>
    <row r="94" spans="1:7" x14ac:dyDescent="0.2">
      <c r="A94" s="551" t="s">
        <v>91</v>
      </c>
      <c r="B94" s="552"/>
      <c r="C94" s="552"/>
      <c r="D94" s="553"/>
      <c r="E94" s="29"/>
      <c r="F94" s="422">
        <f>1971*('PPI Adj'!D6)</f>
        <v>2300.1570000000002</v>
      </c>
      <c r="G94" s="29"/>
    </row>
    <row r="95" spans="1:7" x14ac:dyDescent="0.2">
      <c r="A95" s="557" t="s">
        <v>272</v>
      </c>
      <c r="B95" s="558"/>
      <c r="C95" s="558"/>
      <c r="D95" s="559"/>
      <c r="E95" s="29"/>
      <c r="F95" s="421">
        <f>-1036*('PPI Adj'!D6)</f>
        <v>-1209.0119999999999</v>
      </c>
      <c r="G95" s="29"/>
    </row>
    <row r="96" spans="1:7" ht="13.5" thickBot="1" x14ac:dyDescent="0.25">
      <c r="A96" s="554" t="s">
        <v>92</v>
      </c>
      <c r="B96" s="555"/>
      <c r="C96" s="555"/>
      <c r="D96" s="556"/>
      <c r="E96" s="30"/>
      <c r="F96" s="423">
        <f>-2023*('PPI Adj'!D6)</f>
        <v>-2360.8409999999999</v>
      </c>
      <c r="G96" s="30"/>
    </row>
    <row r="97" spans="1:7" ht="13.5" thickBot="1" x14ac:dyDescent="0.25"/>
    <row r="98" spans="1:7" s="16" customFormat="1" ht="32.25" thickBot="1" x14ac:dyDescent="0.3">
      <c r="A98" s="536" t="s">
        <v>166</v>
      </c>
      <c r="B98" s="537"/>
      <c r="C98" s="537"/>
      <c r="D98" s="538"/>
      <c r="E98" s="33"/>
      <c r="F98" s="414" t="s">
        <v>329</v>
      </c>
      <c r="G98" s="33"/>
    </row>
    <row r="99" spans="1:7" s="3" customFormat="1" ht="15" customHeight="1" thickBot="1" x14ac:dyDescent="0.3">
      <c r="A99" s="49" t="s">
        <v>33</v>
      </c>
      <c r="B99" s="19" t="s">
        <v>7</v>
      </c>
      <c r="C99" s="560" t="s">
        <v>165</v>
      </c>
      <c r="D99" s="561"/>
      <c r="E99" s="34"/>
      <c r="F99" s="415" t="s">
        <v>17</v>
      </c>
      <c r="G99" s="34"/>
    </row>
    <row r="100" spans="1:7" s="13" customFormat="1" ht="26.25" thickBot="1" x14ac:dyDescent="0.3">
      <c r="A100" s="50" t="s">
        <v>82</v>
      </c>
      <c r="B100" s="15" t="s">
        <v>130</v>
      </c>
      <c r="C100" s="562"/>
      <c r="D100" s="563"/>
      <c r="E100" s="30"/>
      <c r="F100" s="373"/>
      <c r="G100" s="30"/>
    </row>
    <row r="101" spans="1:7" s="13" customFormat="1" ht="39" thickBot="1" x14ac:dyDescent="0.3">
      <c r="A101" s="50" t="s">
        <v>83</v>
      </c>
      <c r="B101" s="18" t="s">
        <v>146</v>
      </c>
      <c r="C101" s="562"/>
      <c r="D101" s="563"/>
      <c r="E101" s="30"/>
      <c r="F101" s="373"/>
      <c r="G101" s="30"/>
    </row>
    <row r="102" spans="1:7" s="13" customFormat="1" ht="26.25" thickBot="1" x14ac:dyDescent="0.3">
      <c r="A102" s="47" t="s">
        <v>34</v>
      </c>
      <c r="B102" s="25" t="s">
        <v>107</v>
      </c>
      <c r="C102" s="543" t="s">
        <v>30</v>
      </c>
      <c r="D102" s="544"/>
      <c r="E102" s="29"/>
      <c r="F102" s="373" t="s">
        <v>349</v>
      </c>
      <c r="G102" s="29"/>
    </row>
    <row r="103" spans="1:7" s="13" customFormat="1" ht="51.95" customHeight="1" thickBot="1" x14ac:dyDescent="0.3">
      <c r="A103" s="47" t="s">
        <v>35</v>
      </c>
      <c r="B103" s="25" t="s">
        <v>97</v>
      </c>
      <c r="C103" s="531"/>
      <c r="D103" s="532"/>
      <c r="E103" s="30"/>
      <c r="F103" s="373"/>
      <c r="G103" s="30"/>
    </row>
    <row r="104" spans="1:7" s="13" customFormat="1" ht="27.95" customHeight="1" thickBot="1" x14ac:dyDescent="0.3">
      <c r="A104" s="47" t="s">
        <v>36</v>
      </c>
      <c r="B104" s="25" t="s">
        <v>84</v>
      </c>
      <c r="C104" s="543" t="s">
        <v>99</v>
      </c>
      <c r="D104" s="544"/>
      <c r="E104" s="29"/>
      <c r="F104" s="373" t="s">
        <v>384</v>
      </c>
      <c r="G104" s="29"/>
    </row>
    <row r="105" spans="1:7" s="13" customFormat="1" ht="12.75" customHeight="1" x14ac:dyDescent="0.25">
      <c r="A105" s="517" t="s">
        <v>60</v>
      </c>
      <c r="B105" s="519" t="s">
        <v>133</v>
      </c>
      <c r="C105" s="521" t="s">
        <v>176</v>
      </c>
      <c r="D105" s="522"/>
      <c r="E105" s="29"/>
      <c r="F105" s="367" t="s">
        <v>368</v>
      </c>
      <c r="G105" s="29"/>
    </row>
    <row r="106" spans="1:7" s="13" customFormat="1" ht="12.75" customHeight="1" x14ac:dyDescent="0.25">
      <c r="A106" s="525"/>
      <c r="B106" s="526"/>
      <c r="C106" s="527" t="s">
        <v>177</v>
      </c>
      <c r="D106" s="528"/>
      <c r="E106" s="29"/>
      <c r="F106" s="334">
        <v>2470</v>
      </c>
      <c r="G106" s="29"/>
    </row>
    <row r="107" spans="1:7" s="13" customFormat="1" ht="57" customHeight="1" x14ac:dyDescent="0.25">
      <c r="A107" s="525"/>
      <c r="B107" s="526"/>
      <c r="C107" s="527" t="s">
        <v>114</v>
      </c>
      <c r="D107" s="528"/>
      <c r="E107" s="29"/>
      <c r="F107" s="334" t="s">
        <v>352</v>
      </c>
      <c r="G107" s="29"/>
    </row>
    <row r="108" spans="1:7" s="13" customFormat="1" ht="30.75" customHeight="1" thickBot="1" x14ac:dyDescent="0.3">
      <c r="A108" s="518"/>
      <c r="B108" s="520"/>
      <c r="C108" s="515" t="s">
        <v>115</v>
      </c>
      <c r="D108" s="516"/>
      <c r="E108" s="29"/>
      <c r="F108" s="343" t="s">
        <v>353</v>
      </c>
      <c r="G108" s="29"/>
    </row>
    <row r="109" spans="1:7" s="13" customFormat="1" x14ac:dyDescent="0.25">
      <c r="A109" s="517" t="s">
        <v>61</v>
      </c>
      <c r="B109" s="519" t="s">
        <v>134</v>
      </c>
      <c r="C109" s="521" t="s">
        <v>174</v>
      </c>
      <c r="D109" s="522"/>
      <c r="E109" s="29"/>
      <c r="F109" s="367" t="s">
        <v>368</v>
      </c>
      <c r="G109" s="29"/>
    </row>
    <row r="110" spans="1:7" s="13" customFormat="1" ht="12.75" customHeight="1" x14ac:dyDescent="0.25">
      <c r="A110" s="525"/>
      <c r="B110" s="526"/>
      <c r="C110" s="527" t="s">
        <v>175</v>
      </c>
      <c r="D110" s="528"/>
      <c r="E110" s="29"/>
      <c r="F110" s="419">
        <v>2680</v>
      </c>
      <c r="G110" s="29"/>
    </row>
    <row r="111" spans="1:7" s="13" customFormat="1" ht="12.75" customHeight="1" x14ac:dyDescent="0.25">
      <c r="A111" s="525"/>
      <c r="B111" s="526"/>
      <c r="C111" s="527" t="s">
        <v>176</v>
      </c>
      <c r="D111" s="528"/>
      <c r="E111" s="29"/>
      <c r="F111" s="419" t="s">
        <v>368</v>
      </c>
      <c r="G111" s="29"/>
    </row>
    <row r="112" spans="1:7" s="13" customFormat="1" ht="12.75" customHeight="1" x14ac:dyDescent="0.25">
      <c r="A112" s="525"/>
      <c r="B112" s="526"/>
      <c r="C112" s="527" t="s">
        <v>177</v>
      </c>
      <c r="D112" s="528"/>
      <c r="E112" s="29"/>
      <c r="F112" s="334">
        <v>2470</v>
      </c>
      <c r="G112" s="29"/>
    </row>
    <row r="113" spans="1:7" s="13" customFormat="1" ht="12.75" customHeight="1" x14ac:dyDescent="0.25">
      <c r="A113" s="525"/>
      <c r="B113" s="526"/>
      <c r="C113" s="527" t="s">
        <v>112</v>
      </c>
      <c r="D113" s="528"/>
      <c r="E113" s="29"/>
      <c r="F113" s="334" t="s">
        <v>308</v>
      </c>
      <c r="G113" s="29"/>
    </row>
    <row r="114" spans="1:7" s="13" customFormat="1" ht="12.75" customHeight="1" x14ac:dyDescent="0.25">
      <c r="A114" s="525"/>
      <c r="B114" s="526"/>
      <c r="C114" s="527" t="s">
        <v>113</v>
      </c>
      <c r="D114" s="528"/>
      <c r="E114" s="29"/>
      <c r="F114" s="419" t="s">
        <v>356</v>
      </c>
      <c r="G114" s="29"/>
    </row>
    <row r="115" spans="1:7" s="13" customFormat="1" ht="12.75" customHeight="1" x14ac:dyDescent="0.25">
      <c r="A115" s="525"/>
      <c r="B115" s="526"/>
      <c r="C115" s="527" t="s">
        <v>114</v>
      </c>
      <c r="D115" s="528"/>
      <c r="E115" s="29"/>
      <c r="F115" s="419" t="s">
        <v>380</v>
      </c>
      <c r="G115" s="29"/>
    </row>
    <row r="116" spans="1:7" s="13" customFormat="1" ht="13.5" customHeight="1" thickBot="1" x14ac:dyDescent="0.3">
      <c r="A116" s="518"/>
      <c r="B116" s="520"/>
      <c r="C116" s="515" t="s">
        <v>115</v>
      </c>
      <c r="D116" s="516"/>
      <c r="E116" s="29"/>
      <c r="F116" s="343" t="s">
        <v>356</v>
      </c>
      <c r="G116" s="29"/>
    </row>
    <row r="117" spans="1:7" s="13" customFormat="1" ht="143.1" customHeight="1" thickBot="1" x14ac:dyDescent="0.3">
      <c r="A117" s="51" t="s">
        <v>86</v>
      </c>
      <c r="B117" s="17" t="s">
        <v>143</v>
      </c>
      <c r="C117" s="543" t="s">
        <v>104</v>
      </c>
      <c r="D117" s="544"/>
      <c r="E117" s="29"/>
      <c r="F117" s="367" t="s">
        <v>357</v>
      </c>
      <c r="G117" s="29"/>
    </row>
    <row r="118" spans="1:7" ht="168.6" customHeight="1" thickBot="1" x14ac:dyDescent="0.25">
      <c r="A118" s="47" t="s">
        <v>85</v>
      </c>
      <c r="B118" s="14" t="s">
        <v>170</v>
      </c>
      <c r="C118" s="543" t="s">
        <v>104</v>
      </c>
      <c r="D118" s="544"/>
      <c r="E118" s="29"/>
      <c r="F118" s="373" t="s">
        <v>181</v>
      </c>
      <c r="G118" s="29"/>
    </row>
    <row r="119" spans="1:7" x14ac:dyDescent="0.2">
      <c r="A119" s="517" t="s">
        <v>13</v>
      </c>
      <c r="B119" s="519" t="s">
        <v>98</v>
      </c>
      <c r="C119" s="521" t="s">
        <v>30</v>
      </c>
      <c r="D119" s="522"/>
      <c r="E119" s="29"/>
      <c r="F119" s="367" t="s">
        <v>358</v>
      </c>
      <c r="G119" s="29"/>
    </row>
    <row r="120" spans="1:7" ht="42.75" customHeight="1" thickBot="1" x14ac:dyDescent="0.25">
      <c r="A120" s="518"/>
      <c r="B120" s="520"/>
      <c r="C120" s="515" t="s">
        <v>109</v>
      </c>
      <c r="D120" s="516"/>
      <c r="E120" s="29"/>
      <c r="F120" s="343" t="s">
        <v>359</v>
      </c>
      <c r="G120" s="29"/>
    </row>
    <row r="121" spans="1:7" ht="64.5" customHeight="1" thickBot="1" x14ac:dyDescent="0.25">
      <c r="A121" s="47" t="s">
        <v>37</v>
      </c>
      <c r="B121" s="25" t="s">
        <v>135</v>
      </c>
      <c r="C121" s="531"/>
      <c r="D121" s="532"/>
      <c r="E121" s="30"/>
      <c r="F121" s="373" t="s">
        <v>375</v>
      </c>
      <c r="G121" s="30"/>
    </row>
    <row r="122" spans="1:7" ht="40.5" customHeight="1" thickBot="1" x14ac:dyDescent="0.25">
      <c r="A122" s="47" t="s">
        <v>38</v>
      </c>
      <c r="B122" s="25" t="s">
        <v>87</v>
      </c>
      <c r="C122" s="531"/>
      <c r="D122" s="532"/>
      <c r="E122" s="30"/>
      <c r="F122" s="367"/>
      <c r="G122" s="30"/>
    </row>
    <row r="123" spans="1:7" ht="26.45" customHeight="1" thickBot="1" x14ac:dyDescent="0.25">
      <c r="A123" s="47" t="s">
        <v>39</v>
      </c>
      <c r="B123" s="25" t="s">
        <v>106</v>
      </c>
      <c r="C123" s="543" t="s">
        <v>105</v>
      </c>
      <c r="D123" s="544"/>
      <c r="E123" s="29"/>
      <c r="F123" s="373" t="s">
        <v>207</v>
      </c>
      <c r="G123" s="29"/>
    </row>
    <row r="124" spans="1:7" ht="40.5" customHeight="1" thickBot="1" x14ac:dyDescent="0.25">
      <c r="A124" s="47" t="s">
        <v>90</v>
      </c>
      <c r="B124" s="25" t="s">
        <v>129</v>
      </c>
      <c r="C124" s="531"/>
      <c r="D124" s="532"/>
      <c r="E124" s="30"/>
      <c r="F124" s="373"/>
      <c r="G124" s="30"/>
    </row>
    <row r="125" spans="1:7" x14ac:dyDescent="0.2">
      <c r="A125" s="517" t="s">
        <v>88</v>
      </c>
      <c r="B125" s="519" t="s">
        <v>148</v>
      </c>
      <c r="C125" s="521" t="s">
        <v>100</v>
      </c>
      <c r="D125" s="522"/>
      <c r="E125" s="29"/>
      <c r="F125" s="367" t="s">
        <v>181</v>
      </c>
      <c r="G125" s="29"/>
    </row>
    <row r="126" spans="1:7" ht="108" customHeight="1" thickBot="1" x14ac:dyDescent="0.25">
      <c r="A126" s="518"/>
      <c r="B126" s="520"/>
      <c r="C126" s="515" t="s">
        <v>110</v>
      </c>
      <c r="D126" s="516"/>
      <c r="E126" s="29"/>
      <c r="F126" s="424"/>
      <c r="G126" s="29"/>
    </row>
    <row r="127" spans="1:7" ht="26.25" thickBot="1" x14ac:dyDescent="0.25">
      <c r="A127" s="47" t="s">
        <v>40</v>
      </c>
      <c r="B127" s="25" t="s">
        <v>137</v>
      </c>
      <c r="C127" s="543" t="s">
        <v>100</v>
      </c>
      <c r="D127" s="544"/>
      <c r="E127" s="29"/>
      <c r="F127" s="343" t="s">
        <v>360</v>
      </c>
      <c r="G127" s="29"/>
    </row>
    <row r="128" spans="1:7" ht="53.1" customHeight="1" thickBot="1" x14ac:dyDescent="0.25">
      <c r="A128" s="47" t="s">
        <v>14</v>
      </c>
      <c r="B128" s="25" t="s">
        <v>138</v>
      </c>
      <c r="C128" s="543" t="s">
        <v>139</v>
      </c>
      <c r="D128" s="544"/>
      <c r="E128" s="29"/>
      <c r="F128" s="373">
        <v>2</v>
      </c>
      <c r="G128" s="29"/>
    </row>
    <row r="129" spans="1:7" ht="67.5" customHeight="1" thickBot="1" x14ac:dyDescent="0.25">
      <c r="A129" s="47" t="s">
        <v>91</v>
      </c>
      <c r="B129" s="25" t="s">
        <v>144</v>
      </c>
      <c r="C129" s="543" t="s">
        <v>100</v>
      </c>
      <c r="D129" s="544"/>
      <c r="E129" s="29"/>
      <c r="F129" s="373" t="s">
        <v>361</v>
      </c>
      <c r="G129" s="29"/>
    </row>
    <row r="130" spans="1:7" ht="66.95" customHeight="1" thickBot="1" x14ac:dyDescent="0.25">
      <c r="A130" s="47" t="s">
        <v>92</v>
      </c>
      <c r="B130" s="25" t="s">
        <v>145</v>
      </c>
      <c r="C130" s="531"/>
      <c r="D130" s="532"/>
      <c r="E130" s="30"/>
      <c r="F130" s="373"/>
      <c r="G130" s="30"/>
    </row>
  </sheetData>
  <sheetProtection algorithmName="SHA-512" hashValue="+vIza72JJy7+eYeIvpsv/CmeSownq3luhEA0MHTWJIWcCdhSfPQFj4kCxUb9R73KpnYYSjjDTKrOUyacm4jn8g==" saltValue="6+9eFz+SmwDIn0mquRq2fw==" spinCount="100000" sheet="1" objects="1" scenarios="1"/>
  <dataConsolidate/>
  <mergeCells count="145">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117:D117"/>
    <mergeCell ref="C99:D99"/>
    <mergeCell ref="C100:D100"/>
    <mergeCell ref="C101:D101"/>
    <mergeCell ref="C102:D102"/>
    <mergeCell ref="A92:D92"/>
    <mergeCell ref="A93:D93"/>
    <mergeCell ref="A94:D94"/>
    <mergeCell ref="A96:D96"/>
    <mergeCell ref="A98:D98"/>
    <mergeCell ref="A95:D95"/>
    <mergeCell ref="A86:D86"/>
    <mergeCell ref="A87:D87"/>
    <mergeCell ref="A88:D88"/>
    <mergeCell ref="A89:D89"/>
    <mergeCell ref="A90:D90"/>
    <mergeCell ref="A91:D91"/>
    <mergeCell ref="A80:D80"/>
    <mergeCell ref="A81:D81"/>
    <mergeCell ref="A82:D82"/>
    <mergeCell ref="A83:D83"/>
    <mergeCell ref="A84:D84"/>
    <mergeCell ref="A85:D85"/>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26:D26"/>
    <mergeCell ref="B17:D17"/>
    <mergeCell ref="B21:D21"/>
    <mergeCell ref="B22:D22"/>
    <mergeCell ref="C27:D27"/>
    <mergeCell ref="A28:A29"/>
    <mergeCell ref="B28:B29"/>
    <mergeCell ref="C28:D28"/>
    <mergeCell ref="C29:D29"/>
    <mergeCell ref="A3:D3"/>
    <mergeCell ref="A4:D4"/>
    <mergeCell ref="A6:D6"/>
    <mergeCell ref="A19:D19"/>
    <mergeCell ref="B12:D12"/>
    <mergeCell ref="B13:D13"/>
    <mergeCell ref="B14:D14"/>
    <mergeCell ref="B15:D15"/>
    <mergeCell ref="B16:D16"/>
    <mergeCell ref="B8:D8"/>
    <mergeCell ref="B9:D9"/>
    <mergeCell ref="B10:D10"/>
    <mergeCell ref="B11:D11"/>
  </mergeCells>
  <conditionalFormatting sqref="C52 C60">
    <cfRule type="expression" dxfId="168" priority="175">
      <formula>#REF!="NO"</formula>
    </cfRule>
  </conditionalFormatting>
  <conditionalFormatting sqref="C27:G73">
    <cfRule type="expression" dxfId="167" priority="37">
      <formula>#REF!="NO"</formula>
    </cfRule>
  </conditionalFormatting>
  <conditionalFormatting sqref="C100:G130">
    <cfRule type="expression" dxfId="166" priority="9">
      <formula>#REF!="NO"</formula>
    </cfRule>
  </conditionalFormatting>
  <conditionalFormatting sqref="E77:G96">
    <cfRule type="expression" dxfId="165" priority="1">
      <formula>#REF!="NO"</formula>
    </cfRule>
  </conditionalFormatting>
  <conditionalFormatting sqref="F8:F17">
    <cfRule type="expression" dxfId="164" priority="170">
      <formula>#REF!="NO"</formula>
    </cfRule>
  </conditionalFormatting>
  <conditionalFormatting sqref="F21:F23">
    <cfRule type="expression" dxfId="163" priority="171">
      <formula>#REF!="NO"</formula>
    </cfRule>
  </conditionalFormatting>
  <dataValidations count="3">
    <dataValidation type="decimal" operator="greaterThanOrEqual" allowBlank="1" showInputMessage="1" showErrorMessage="1" error="The Pickup Allowance cannot be a negative number." sqref="F16" xr:uid="{00000000-0002-0000-0300-000000000000}">
      <formula1>0</formula1>
    </dataValidation>
    <dataValidation type="decimal" allowBlank="1" showInputMessage="1" showErrorMessage="1" error="Invalid Entry - Bidder must enter a value that is greater than $0" sqref="F21:F22" xr:uid="{00000000-0002-0000-0300-000001000000}">
      <formula1>0</formula1>
      <formula2>9E+21</formula2>
    </dataValidation>
    <dataValidation type="decimal" allowBlank="1" showInputMessage="1" showErrorMessage="1" error="The Additional Options NYS Discount entered must be greater than 0%, or less than or equal to 100%." sqref="F23" xr:uid="{00000000-0002-0000-0300-000002000000}">
      <formula1>0.01</formula1>
      <formula2>100</formula2>
    </dataValidation>
  </dataValidations>
  <pageMargins left="0.25" right="0.25" top="0.5" bottom="0.25" header="0.3" footer="0.3"/>
  <pageSetup scale="92" fitToHeight="0" orientation="landscape" r:id="rId1"/>
  <rowBreaks count="1" manualBreakCount="1">
    <brk id="23"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ABEA9-E220-4C13-8FFC-0F7C569DD0FA}">
  <sheetPr>
    <tabColor rgb="FFCC66FF"/>
    <pageSetUpPr autoPageBreaks="0" fitToPage="1"/>
  </sheetPr>
  <dimension ref="A1:J111"/>
  <sheetViews>
    <sheetView showGridLines="0" zoomScaleNormal="100" workbookViewId="0">
      <selection activeCell="A3" sqref="A3:D3"/>
    </sheetView>
  </sheetViews>
  <sheetFormatPr defaultColWidth="9.140625" defaultRowHeight="12.75" x14ac:dyDescent="0.2"/>
  <cols>
    <col min="1" max="1" width="19.140625" style="2" customWidth="1"/>
    <col min="2" max="2" width="75.28515625" style="2" customWidth="1"/>
    <col min="3" max="3" width="6.85546875" style="2" customWidth="1"/>
    <col min="4" max="4" width="34.85546875" style="2" customWidth="1"/>
    <col min="5" max="5" width="3.85546875" style="5" customWidth="1"/>
    <col min="6" max="11" width="20.7109375" style="2" customWidth="1"/>
    <col min="12" max="16384" width="9.140625" style="2"/>
  </cols>
  <sheetData>
    <row r="1" spans="1:8" ht="18" customHeight="1" x14ac:dyDescent="0.2">
      <c r="A1" s="300" t="str">
        <f>'A (Item 2-G)'!$A$1</f>
        <v>GROUP 40524-23254, SCHOOL BUSES (Statewide)                                                             Attachment 1 - Specifications and Pricing (Revised October 15, 2026)</v>
      </c>
      <c r="E1" s="2"/>
    </row>
    <row r="2" spans="1:8" s="20" customFormat="1" ht="18" customHeight="1" thickBot="1" x14ac:dyDescent="0.3">
      <c r="A2" s="302" t="str">
        <f>'Attachment 1 - Summary'!B2</f>
        <v>PC69863 Nesco Bus and Truck Sales, Inc.</v>
      </c>
      <c r="B2" s="21"/>
      <c r="C2" s="21"/>
      <c r="D2" s="21"/>
      <c r="E2" s="21"/>
      <c r="F2" s="21"/>
      <c r="G2" s="21"/>
      <c r="H2" s="21"/>
    </row>
    <row r="3" spans="1:8" ht="23.25" x14ac:dyDescent="0.2">
      <c r="A3" s="628" t="s">
        <v>569</v>
      </c>
      <c r="B3" s="629"/>
      <c r="C3" s="629"/>
      <c r="D3" s="630"/>
      <c r="E3" s="197"/>
      <c r="F3" s="8"/>
      <c r="G3" s="8"/>
    </row>
    <row r="4" spans="1:8" ht="51" customHeight="1" thickBot="1" x14ac:dyDescent="0.25">
      <c r="A4" s="592" t="s">
        <v>568</v>
      </c>
      <c r="B4" s="593"/>
      <c r="C4" s="593"/>
      <c r="D4" s="594"/>
      <c r="E4" s="198"/>
      <c r="F4" s="8"/>
      <c r="G4" s="8"/>
    </row>
    <row r="5" spans="1:8" s="4" customFormat="1" ht="9" customHeight="1" thickBot="1" x14ac:dyDescent="0.3">
      <c r="A5" s="199"/>
      <c r="B5" s="199"/>
      <c r="C5" s="199"/>
      <c r="D5" s="199"/>
      <c r="E5" s="64"/>
      <c r="F5" s="191"/>
      <c r="G5" s="191"/>
    </row>
    <row r="6" spans="1:8" s="7" customFormat="1" ht="16.5" customHeight="1" thickBot="1" x14ac:dyDescent="0.25">
      <c r="A6" s="509" t="s">
        <v>151</v>
      </c>
      <c r="B6" s="510"/>
      <c r="C6" s="510"/>
      <c r="D6" s="511"/>
      <c r="E6" s="200"/>
      <c r="F6" s="478" t="s">
        <v>615</v>
      </c>
      <c r="G6" s="311"/>
    </row>
    <row r="7" spans="1:8" s="4" customFormat="1" ht="23.25" customHeight="1" thickBot="1" x14ac:dyDescent="0.3">
      <c r="A7" s="175" t="s">
        <v>6</v>
      </c>
      <c r="B7" s="174" t="s">
        <v>165</v>
      </c>
      <c r="C7" s="173"/>
      <c r="D7" s="201"/>
      <c r="E7" s="34"/>
      <c r="F7" s="478" t="s">
        <v>184</v>
      </c>
      <c r="G7" s="286"/>
    </row>
    <row r="8" spans="1:8" ht="84.75" customHeight="1" thickTop="1" thickBot="1" x14ac:dyDescent="0.25">
      <c r="A8" s="166" t="s">
        <v>185</v>
      </c>
      <c r="B8" s="101" t="s">
        <v>612</v>
      </c>
      <c r="C8" s="102"/>
      <c r="D8" s="103"/>
      <c r="E8" s="13"/>
      <c r="F8" s="324" t="s">
        <v>566</v>
      </c>
      <c r="G8" s="301"/>
    </row>
    <row r="9" spans="1:8" s="7" customFormat="1" ht="27" customHeight="1" thickTop="1" thickBot="1" x14ac:dyDescent="0.25">
      <c r="A9" s="166" t="s">
        <v>136</v>
      </c>
      <c r="B9" s="500" t="s">
        <v>191</v>
      </c>
      <c r="C9" s="501"/>
      <c r="D9" s="502"/>
      <c r="E9" s="13"/>
      <c r="F9" s="324" t="s">
        <v>616</v>
      </c>
      <c r="G9" s="311"/>
    </row>
    <row r="10" spans="1:8" ht="12.75" customHeight="1" thickTop="1" x14ac:dyDescent="0.2">
      <c r="A10" s="184" t="s">
        <v>563</v>
      </c>
      <c r="B10" s="98" t="s">
        <v>617</v>
      </c>
      <c r="C10" s="99"/>
      <c r="D10" s="100"/>
      <c r="E10" s="13"/>
      <c r="F10" s="329">
        <v>2024</v>
      </c>
      <c r="G10" s="301"/>
    </row>
    <row r="11" spans="1:8" ht="12.75" customHeight="1" x14ac:dyDescent="0.2">
      <c r="A11" s="162" t="s">
        <v>0</v>
      </c>
      <c r="B11" s="92" t="s">
        <v>618</v>
      </c>
      <c r="C11" s="93"/>
      <c r="D11" s="94"/>
      <c r="E11" s="13"/>
      <c r="F11" s="334" t="s">
        <v>304</v>
      </c>
      <c r="G11" s="301"/>
    </row>
    <row r="12" spans="1:8" x14ac:dyDescent="0.2">
      <c r="A12" s="162" t="s">
        <v>1</v>
      </c>
      <c r="B12" s="92" t="s">
        <v>619</v>
      </c>
      <c r="C12" s="93"/>
      <c r="D12" s="94"/>
      <c r="E12" s="13"/>
      <c r="F12" s="334">
        <v>4500</v>
      </c>
      <c r="G12" s="301"/>
    </row>
    <row r="13" spans="1:8" ht="12.75" customHeight="1" thickBot="1" x14ac:dyDescent="0.25">
      <c r="A13" s="160" t="s">
        <v>2</v>
      </c>
      <c r="B13" s="494" t="s">
        <v>620</v>
      </c>
      <c r="C13" s="495"/>
      <c r="D13" s="496"/>
      <c r="E13" s="13"/>
      <c r="F13" s="336" t="s">
        <v>386</v>
      </c>
      <c r="G13" s="301"/>
    </row>
    <row r="14" spans="1:8" ht="12.75" customHeight="1" thickTop="1" x14ac:dyDescent="0.2">
      <c r="A14" s="184" t="s">
        <v>556</v>
      </c>
      <c r="B14" s="183" t="s">
        <v>621</v>
      </c>
      <c r="C14" s="182"/>
      <c r="D14" s="202"/>
      <c r="E14" s="13"/>
      <c r="F14" s="329">
        <v>2024</v>
      </c>
      <c r="G14" s="301"/>
    </row>
    <row r="15" spans="1:8" x14ac:dyDescent="0.2">
      <c r="A15" s="162" t="s">
        <v>3</v>
      </c>
      <c r="B15" s="92" t="s">
        <v>622</v>
      </c>
      <c r="C15" s="93"/>
      <c r="D15" s="94"/>
      <c r="E15" s="13"/>
      <c r="F15" s="334" t="s">
        <v>334</v>
      </c>
      <c r="G15" s="301"/>
    </row>
    <row r="16" spans="1:8" x14ac:dyDescent="0.2">
      <c r="A16" s="162" t="s">
        <v>4</v>
      </c>
      <c r="B16" s="92" t="s">
        <v>623</v>
      </c>
      <c r="C16" s="93"/>
      <c r="D16" s="94"/>
      <c r="E16" s="13"/>
      <c r="F16" s="334" t="s">
        <v>335</v>
      </c>
      <c r="G16" s="301"/>
    </row>
    <row r="17" spans="1:10" ht="13.5" customHeight="1" thickBot="1" x14ac:dyDescent="0.25">
      <c r="A17" s="179" t="s">
        <v>5</v>
      </c>
      <c r="B17" s="494" t="s">
        <v>624</v>
      </c>
      <c r="C17" s="495"/>
      <c r="D17" s="496"/>
      <c r="E17" s="13"/>
      <c r="F17" s="341" t="s">
        <v>387</v>
      </c>
      <c r="G17" s="301"/>
    </row>
    <row r="18" spans="1:10" ht="29.25" customHeight="1" thickTop="1" x14ac:dyDescent="0.2">
      <c r="A18" s="162" t="s">
        <v>101</v>
      </c>
      <c r="B18" s="497" t="s">
        <v>625</v>
      </c>
      <c r="C18" s="498"/>
      <c r="D18" s="499"/>
      <c r="E18" s="13"/>
      <c r="F18" s="342">
        <v>100</v>
      </c>
      <c r="G18" s="301"/>
    </row>
    <row r="19" spans="1:10" ht="30.75" customHeight="1" thickBot="1" x14ac:dyDescent="0.25">
      <c r="A19" s="179" t="s">
        <v>43</v>
      </c>
      <c r="B19" s="494" t="s">
        <v>626</v>
      </c>
      <c r="C19" s="495"/>
      <c r="D19" s="496"/>
      <c r="E19" s="13"/>
      <c r="F19" s="341" t="s">
        <v>549</v>
      </c>
      <c r="G19" s="301"/>
    </row>
    <row r="20" spans="1:10" s="9" customFormat="1" ht="14.25" thickTop="1" thickBot="1" x14ac:dyDescent="0.25">
      <c r="E20" s="10"/>
      <c r="F20" s="345"/>
      <c r="G20" s="345"/>
      <c r="H20" s="10"/>
      <c r="I20" s="10"/>
      <c r="J20" s="10"/>
    </row>
    <row r="21" spans="1:10" s="11" customFormat="1" ht="16.5" customHeight="1" thickBot="1" x14ac:dyDescent="0.25">
      <c r="A21" s="509" t="s">
        <v>150</v>
      </c>
      <c r="B21" s="510"/>
      <c r="C21" s="510"/>
      <c r="D21" s="511"/>
      <c r="E21" s="200"/>
      <c r="F21" s="478" t="s">
        <v>615</v>
      </c>
      <c r="G21" s="350"/>
    </row>
    <row r="22" spans="1:10" s="4" customFormat="1" ht="23.25" customHeight="1" thickBot="1" x14ac:dyDescent="0.3">
      <c r="A22" s="37" t="s">
        <v>6</v>
      </c>
      <c r="B22" s="174" t="s">
        <v>165</v>
      </c>
      <c r="C22" s="173"/>
      <c r="D22" s="201"/>
      <c r="E22" s="34"/>
      <c r="F22" s="478" t="s">
        <v>184</v>
      </c>
      <c r="G22" s="286"/>
    </row>
    <row r="23" spans="1:10" ht="57" customHeight="1" thickTop="1" thickBot="1" x14ac:dyDescent="0.25">
      <c r="A23" s="203" t="s">
        <v>42</v>
      </c>
      <c r="B23" s="599" t="s">
        <v>161</v>
      </c>
      <c r="C23" s="600"/>
      <c r="D23" s="601"/>
      <c r="E23" s="13"/>
      <c r="F23" s="352">
        <f>297998*('PPI Adj'!L6)</f>
        <v>308129.93200000003</v>
      </c>
      <c r="G23" s="301"/>
    </row>
    <row r="24" spans="1:10" ht="57" customHeight="1" thickBot="1" x14ac:dyDescent="0.25">
      <c r="A24" s="43" t="s">
        <v>41</v>
      </c>
      <c r="B24" s="631" t="s">
        <v>163</v>
      </c>
      <c r="C24" s="632"/>
      <c r="D24" s="633"/>
      <c r="E24" s="1"/>
      <c r="F24" s="354">
        <v>20</v>
      </c>
      <c r="G24" s="301"/>
    </row>
    <row r="25" spans="1:10" x14ac:dyDescent="0.2">
      <c r="A25" s="156"/>
      <c r="B25" s="1"/>
      <c r="C25" s="1"/>
      <c r="D25" s="1"/>
      <c r="E25" s="205"/>
      <c r="F25" s="301"/>
      <c r="G25" s="301"/>
    </row>
    <row r="26" spans="1:10" ht="13.5" thickBot="1" x14ac:dyDescent="0.25">
      <c r="A26" s="156"/>
      <c r="B26" s="1"/>
      <c r="C26" s="1"/>
      <c r="D26" s="1"/>
      <c r="E26" s="205"/>
      <c r="F26" s="301"/>
      <c r="G26" s="301"/>
    </row>
    <row r="27" spans="1:10" s="7" customFormat="1" ht="15.75" customHeight="1" thickBot="1" x14ac:dyDescent="0.25">
      <c r="A27" s="626" t="s">
        <v>164</v>
      </c>
      <c r="B27" s="627"/>
      <c r="C27" s="627"/>
      <c r="D27" s="627"/>
      <c r="E27" s="206"/>
      <c r="F27" s="478" t="s">
        <v>615</v>
      </c>
      <c r="G27" s="311"/>
    </row>
    <row r="28" spans="1:10" s="3" customFormat="1" ht="26.25" customHeight="1" thickBot="1" x14ac:dyDescent="0.3">
      <c r="A28" s="53" t="s">
        <v>6</v>
      </c>
      <c r="B28" s="26" t="s">
        <v>7</v>
      </c>
      <c r="C28" s="539" t="s">
        <v>660</v>
      </c>
      <c r="D28" s="624"/>
      <c r="E28" s="34"/>
      <c r="F28" s="478" t="s">
        <v>184</v>
      </c>
      <c r="G28" s="361"/>
    </row>
    <row r="29" spans="1:10" s="13" customFormat="1" ht="39" thickBot="1" x14ac:dyDescent="0.3">
      <c r="A29" s="24" t="s">
        <v>8</v>
      </c>
      <c r="B29" s="207" t="s">
        <v>131</v>
      </c>
      <c r="C29" s="543" t="s">
        <v>118</v>
      </c>
      <c r="D29" s="544"/>
      <c r="E29" s="29"/>
      <c r="F29" s="343">
        <v>14200</v>
      </c>
      <c r="G29" s="364"/>
    </row>
    <row r="30" spans="1:10" s="13" customFormat="1" ht="15" customHeight="1" x14ac:dyDescent="0.25">
      <c r="A30" s="23" t="s">
        <v>21</v>
      </c>
      <c r="B30" s="208" t="s">
        <v>535</v>
      </c>
      <c r="C30" s="521" t="s">
        <v>67</v>
      </c>
      <c r="D30" s="522"/>
      <c r="E30" s="29"/>
      <c r="F30" s="367">
        <v>4</v>
      </c>
      <c r="G30" s="364"/>
    </row>
    <row r="31" spans="1:10" s="13" customFormat="1" ht="15.75" customHeight="1" thickBot="1" x14ac:dyDescent="0.3">
      <c r="A31" s="24"/>
      <c r="B31" s="207"/>
      <c r="C31" s="523"/>
      <c r="D31" s="524" t="s">
        <v>68</v>
      </c>
      <c r="E31" s="29"/>
      <c r="F31" s="343">
        <v>24</v>
      </c>
      <c r="G31" s="364"/>
    </row>
    <row r="32" spans="1:10" s="13" customFormat="1" ht="15.75" customHeight="1" thickBot="1" x14ac:dyDescent="0.3">
      <c r="A32" s="25" t="s">
        <v>123</v>
      </c>
      <c r="B32" s="209" t="s">
        <v>108</v>
      </c>
      <c r="C32" s="625"/>
      <c r="D32" s="619"/>
      <c r="E32" s="259"/>
      <c r="F32" s="373"/>
      <c r="G32" s="364"/>
    </row>
    <row r="33" spans="1:7" s="13" customFormat="1" ht="15" customHeight="1" x14ac:dyDescent="0.25">
      <c r="A33" s="23" t="s">
        <v>59</v>
      </c>
      <c r="B33" s="208"/>
      <c r="C33" s="521" t="s">
        <v>58</v>
      </c>
      <c r="D33" s="522"/>
      <c r="E33" s="29"/>
      <c r="F33" s="367">
        <v>159</v>
      </c>
      <c r="G33" s="364"/>
    </row>
    <row r="34" spans="1:7" s="13" customFormat="1" ht="15" customHeight="1" x14ac:dyDescent="0.25">
      <c r="A34" s="110"/>
      <c r="B34" s="210"/>
      <c r="C34" s="527" t="s">
        <v>57</v>
      </c>
      <c r="D34" s="528"/>
      <c r="E34" s="29"/>
      <c r="F34" s="334">
        <v>266.5</v>
      </c>
      <c r="G34" s="364"/>
    </row>
    <row r="35" spans="1:7" s="13" customFormat="1" ht="15" customHeight="1" x14ac:dyDescent="0.25">
      <c r="A35" s="110"/>
      <c r="B35" s="210"/>
      <c r="C35" s="527" t="s">
        <v>69</v>
      </c>
      <c r="D35" s="528"/>
      <c r="E35" s="29"/>
      <c r="F35" s="334">
        <v>90</v>
      </c>
      <c r="G35" s="364"/>
    </row>
    <row r="36" spans="1:7" s="13" customFormat="1" ht="15" customHeight="1" x14ac:dyDescent="0.25">
      <c r="A36" s="110"/>
      <c r="B36" s="210"/>
      <c r="C36" s="527" t="s">
        <v>70</v>
      </c>
      <c r="D36" s="528"/>
      <c r="E36" s="29"/>
      <c r="F36" s="334">
        <v>73</v>
      </c>
      <c r="G36" s="364"/>
    </row>
    <row r="37" spans="1:7" s="13" customFormat="1" ht="15.75" customHeight="1" thickBot="1" x14ac:dyDescent="0.3">
      <c r="A37" s="24"/>
      <c r="B37" s="207"/>
      <c r="C37" s="523" t="s">
        <v>111</v>
      </c>
      <c r="D37" s="524"/>
      <c r="E37" s="29"/>
      <c r="F37" s="343">
        <v>94.1</v>
      </c>
      <c r="G37" s="364"/>
    </row>
    <row r="38" spans="1:7" s="13" customFormat="1" ht="15" customHeight="1" x14ac:dyDescent="0.25">
      <c r="A38" s="23" t="s">
        <v>11</v>
      </c>
      <c r="B38" s="208"/>
      <c r="C38" s="618" t="s">
        <v>24</v>
      </c>
      <c r="D38" s="619"/>
      <c r="E38" s="29"/>
      <c r="F38" s="367">
        <v>4600</v>
      </c>
      <c r="G38" s="364"/>
    </row>
    <row r="39" spans="1:7" s="13" customFormat="1" ht="15.75" customHeight="1" thickBot="1" x14ac:dyDescent="0.3">
      <c r="A39" s="24"/>
      <c r="B39" s="207"/>
      <c r="C39" s="523" t="s">
        <v>22</v>
      </c>
      <c r="D39" s="524"/>
      <c r="E39" s="29"/>
      <c r="F39" s="343">
        <v>4600</v>
      </c>
      <c r="G39" s="364"/>
    </row>
    <row r="40" spans="1:7" s="13" customFormat="1" ht="15" customHeight="1" x14ac:dyDescent="0.25">
      <c r="A40" s="23" t="s">
        <v>16</v>
      </c>
      <c r="B40" s="208"/>
      <c r="C40" s="521" t="s">
        <v>24</v>
      </c>
      <c r="D40" s="522"/>
      <c r="E40" s="29"/>
      <c r="F40" s="367">
        <v>9600</v>
      </c>
      <c r="G40" s="364"/>
    </row>
    <row r="41" spans="1:7" s="13" customFormat="1" ht="15.75" customHeight="1" thickBot="1" x14ac:dyDescent="0.3">
      <c r="A41" s="24"/>
      <c r="B41" s="207"/>
      <c r="C41" s="523" t="s">
        <v>23</v>
      </c>
      <c r="D41" s="524"/>
      <c r="E41" s="29"/>
      <c r="F41" s="343">
        <v>9600</v>
      </c>
      <c r="G41" s="364"/>
    </row>
    <row r="42" spans="1:7" s="13" customFormat="1" ht="15.75" customHeight="1" thickBot="1" x14ac:dyDescent="0.3">
      <c r="A42" s="25" t="s">
        <v>52</v>
      </c>
      <c r="B42" s="209" t="s">
        <v>53</v>
      </c>
      <c r="C42" s="608"/>
      <c r="D42" s="609"/>
      <c r="E42" s="259"/>
      <c r="F42" s="373"/>
      <c r="G42" s="364"/>
    </row>
    <row r="43" spans="1:7" s="13" customFormat="1" ht="36" customHeight="1" x14ac:dyDescent="0.25">
      <c r="A43" s="519" t="s">
        <v>12</v>
      </c>
      <c r="B43" s="621" t="s">
        <v>142</v>
      </c>
      <c r="C43" s="521" t="s">
        <v>205</v>
      </c>
      <c r="D43" s="522"/>
      <c r="E43" s="29"/>
      <c r="F43" s="367" t="s">
        <v>368</v>
      </c>
      <c r="G43" s="364"/>
    </row>
    <row r="44" spans="1:7" s="13" customFormat="1" ht="30" customHeight="1" x14ac:dyDescent="0.25">
      <c r="A44" s="526"/>
      <c r="B44" s="622"/>
      <c r="C44" s="527" t="s">
        <v>518</v>
      </c>
      <c r="D44" s="528"/>
      <c r="E44" s="29"/>
      <c r="F44" s="334">
        <v>2335</v>
      </c>
      <c r="G44" s="364"/>
    </row>
    <row r="45" spans="1:7" s="13" customFormat="1" ht="30" customHeight="1" x14ac:dyDescent="0.25">
      <c r="A45" s="526"/>
      <c r="B45" s="622"/>
      <c r="C45" s="527" t="s">
        <v>203</v>
      </c>
      <c r="D45" s="528"/>
      <c r="E45" s="29"/>
      <c r="F45" s="419" t="s">
        <v>368</v>
      </c>
      <c r="G45" s="364"/>
    </row>
    <row r="46" spans="1:7" s="13" customFormat="1" ht="30" customHeight="1" x14ac:dyDescent="0.25">
      <c r="A46" s="526"/>
      <c r="B46" s="622"/>
      <c r="C46" s="527" t="s">
        <v>534</v>
      </c>
      <c r="D46" s="528"/>
      <c r="E46" s="29"/>
      <c r="F46" s="334">
        <v>2470</v>
      </c>
      <c r="G46" s="364"/>
    </row>
    <row r="47" spans="1:7" s="13" customFormat="1" ht="15.75" customHeight="1" x14ac:dyDescent="0.25">
      <c r="A47" s="526"/>
      <c r="B47" s="622"/>
      <c r="C47" s="527" t="s">
        <v>112</v>
      </c>
      <c r="D47" s="528"/>
      <c r="E47" s="29"/>
      <c r="F47" s="334" t="s">
        <v>308</v>
      </c>
      <c r="G47" s="364"/>
    </row>
    <row r="48" spans="1:7" s="13" customFormat="1" ht="15.75" customHeight="1" x14ac:dyDescent="0.25">
      <c r="A48" s="526"/>
      <c r="B48" s="622"/>
      <c r="C48" s="527" t="s">
        <v>113</v>
      </c>
      <c r="D48" s="528"/>
      <c r="E48" s="29"/>
      <c r="F48" s="334" t="s">
        <v>340</v>
      </c>
      <c r="G48" s="364"/>
    </row>
    <row r="49" spans="1:7" s="13" customFormat="1" ht="15.75" customHeight="1" x14ac:dyDescent="0.25">
      <c r="A49" s="526"/>
      <c r="B49" s="622"/>
      <c r="C49" s="527" t="s">
        <v>114</v>
      </c>
      <c r="D49" s="528"/>
      <c r="E49" s="29"/>
      <c r="F49" s="334" t="s">
        <v>380</v>
      </c>
      <c r="G49" s="364"/>
    </row>
    <row r="50" spans="1:7" s="13" customFormat="1" ht="15.75" customHeight="1" thickBot="1" x14ac:dyDescent="0.3">
      <c r="A50" s="520"/>
      <c r="B50" s="623"/>
      <c r="C50" s="523" t="s">
        <v>115</v>
      </c>
      <c r="D50" s="524"/>
      <c r="E50" s="29"/>
      <c r="F50" s="343" t="s">
        <v>340</v>
      </c>
      <c r="G50" s="364"/>
    </row>
    <row r="51" spans="1:7" s="13" customFormat="1" ht="15" customHeight="1" x14ac:dyDescent="0.25">
      <c r="A51" s="23" t="s">
        <v>10</v>
      </c>
      <c r="B51" s="208" t="s">
        <v>62</v>
      </c>
      <c r="C51" s="521" t="s">
        <v>116</v>
      </c>
      <c r="D51" s="522"/>
      <c r="E51" s="29"/>
      <c r="F51" s="367">
        <v>1</v>
      </c>
      <c r="G51" s="364"/>
    </row>
    <row r="52" spans="1:7" s="13" customFormat="1" ht="15" customHeight="1" x14ac:dyDescent="0.25">
      <c r="A52" s="110"/>
      <c r="B52" s="210"/>
      <c r="C52" s="527" t="s">
        <v>117</v>
      </c>
      <c r="D52" s="528"/>
      <c r="E52" s="29"/>
      <c r="F52" s="334" t="s">
        <v>197</v>
      </c>
      <c r="G52" s="364"/>
    </row>
    <row r="53" spans="1:7" s="13" customFormat="1" ht="15.75" customHeight="1" thickBot="1" x14ac:dyDescent="0.3">
      <c r="A53" s="110"/>
      <c r="B53" s="210"/>
      <c r="C53" s="523" t="s">
        <v>71</v>
      </c>
      <c r="D53" s="524"/>
      <c r="E53" s="29"/>
      <c r="F53" s="329" t="s">
        <v>533</v>
      </c>
      <c r="G53" s="364"/>
    </row>
    <row r="54" spans="1:7" s="13" customFormat="1" ht="42.75" customHeight="1" thickBot="1" x14ac:dyDescent="0.3">
      <c r="A54" s="23" t="s">
        <v>185</v>
      </c>
      <c r="B54" s="208" t="s">
        <v>186</v>
      </c>
      <c r="C54" s="543" t="s">
        <v>187</v>
      </c>
      <c r="D54" s="544"/>
      <c r="E54" s="29"/>
      <c r="F54" s="367">
        <v>113</v>
      </c>
      <c r="G54" s="364"/>
    </row>
    <row r="55" spans="1:7" s="13" customFormat="1" ht="15" customHeight="1" x14ac:dyDescent="0.25">
      <c r="A55" s="23" t="s">
        <v>26</v>
      </c>
      <c r="B55" s="208" t="s">
        <v>532</v>
      </c>
      <c r="C55" s="521" t="s">
        <v>188</v>
      </c>
      <c r="D55" s="522"/>
      <c r="E55" s="29"/>
      <c r="F55" s="367">
        <v>1</v>
      </c>
      <c r="G55" s="364"/>
    </row>
    <row r="56" spans="1:7" s="13" customFormat="1" ht="15" customHeight="1" x14ac:dyDescent="0.25">
      <c r="A56" s="110"/>
      <c r="B56" s="210"/>
      <c r="C56" s="527" t="s">
        <v>189</v>
      </c>
      <c r="D56" s="528"/>
      <c r="E56" s="29"/>
      <c r="F56" s="334" t="s">
        <v>531</v>
      </c>
      <c r="G56" s="364"/>
    </row>
    <row r="57" spans="1:7" s="13" customFormat="1" ht="15.75" customHeight="1" thickBot="1" x14ac:dyDescent="0.3">
      <c r="A57" s="24"/>
      <c r="B57" s="207"/>
      <c r="C57" s="523" t="s">
        <v>190</v>
      </c>
      <c r="D57" s="524"/>
      <c r="E57" s="29"/>
      <c r="F57" s="343">
        <v>240</v>
      </c>
      <c r="G57" s="364"/>
    </row>
    <row r="58" spans="1:7" s="13" customFormat="1" ht="15.75" customHeight="1" thickBot="1" x14ac:dyDescent="0.3">
      <c r="A58" s="25" t="s">
        <v>44</v>
      </c>
      <c r="B58" s="209" t="s">
        <v>530</v>
      </c>
      <c r="C58" s="608"/>
      <c r="D58" s="609"/>
      <c r="E58" s="259"/>
      <c r="F58" s="384"/>
      <c r="G58" s="364"/>
    </row>
    <row r="59" spans="1:7" s="13" customFormat="1" ht="31.5" customHeight="1" thickBot="1" x14ac:dyDescent="0.3">
      <c r="A59" s="25" t="s">
        <v>44</v>
      </c>
      <c r="B59" s="209" t="s">
        <v>63</v>
      </c>
      <c r="C59" s="608"/>
      <c r="D59" s="609"/>
      <c r="E59" s="259"/>
      <c r="F59" s="384"/>
      <c r="G59" s="364"/>
    </row>
    <row r="60" spans="1:7" s="13" customFormat="1" ht="26.25" thickBot="1" x14ac:dyDescent="0.3">
      <c r="A60" s="25" t="s">
        <v>44</v>
      </c>
      <c r="B60" s="209" t="s">
        <v>64</v>
      </c>
      <c r="C60" s="608"/>
      <c r="D60" s="609"/>
      <c r="E60" s="259"/>
      <c r="F60" s="384"/>
      <c r="G60" s="364"/>
    </row>
    <row r="61" spans="1:7" s="13" customFormat="1" ht="15.75" customHeight="1" thickBot="1" x14ac:dyDescent="0.3">
      <c r="A61" s="25" t="s">
        <v>50</v>
      </c>
      <c r="B61" s="209" t="s">
        <v>65</v>
      </c>
      <c r="C61" s="608"/>
      <c r="D61" s="609"/>
      <c r="E61" s="259"/>
      <c r="F61" s="384"/>
      <c r="G61" s="364"/>
    </row>
    <row r="62" spans="1:7" s="13" customFormat="1" ht="15.75" customHeight="1" thickBot="1" x14ac:dyDescent="0.3">
      <c r="A62" s="25" t="s">
        <v>27</v>
      </c>
      <c r="B62" s="209"/>
      <c r="C62" s="543" t="s">
        <v>77</v>
      </c>
      <c r="D62" s="544"/>
      <c r="E62" s="29"/>
      <c r="F62" s="373" t="s">
        <v>346</v>
      </c>
      <c r="G62" s="364"/>
    </row>
    <row r="63" spans="1:7" s="13" customFormat="1" ht="31.5" customHeight="1" thickBot="1" x14ac:dyDescent="0.3">
      <c r="A63" s="25" t="s">
        <v>51</v>
      </c>
      <c r="B63" s="209" t="s">
        <v>79</v>
      </c>
      <c r="C63" s="608"/>
      <c r="D63" s="609"/>
      <c r="E63" s="259"/>
      <c r="F63" s="373"/>
      <c r="G63" s="364"/>
    </row>
    <row r="64" spans="1:7" s="13" customFormat="1" ht="42" customHeight="1" thickBot="1" x14ac:dyDescent="0.3">
      <c r="A64" s="25" t="s">
        <v>54</v>
      </c>
      <c r="B64" s="209" t="s">
        <v>80</v>
      </c>
      <c r="C64" s="608"/>
      <c r="D64" s="609"/>
      <c r="E64" s="259"/>
      <c r="F64" s="373"/>
      <c r="G64" s="364"/>
    </row>
    <row r="65" spans="1:7" s="13" customFormat="1" ht="39" thickBot="1" x14ac:dyDescent="0.3">
      <c r="A65" s="25" t="s">
        <v>29</v>
      </c>
      <c r="B65" s="209" t="s">
        <v>529</v>
      </c>
      <c r="C65" s="608"/>
      <c r="D65" s="609"/>
      <c r="E65" s="259"/>
      <c r="F65" s="373"/>
      <c r="G65" s="364"/>
    </row>
    <row r="66" spans="1:7" s="13" customFormat="1" ht="41.25" customHeight="1" thickBot="1" x14ac:dyDescent="0.3">
      <c r="A66" s="25" t="s">
        <v>31</v>
      </c>
      <c r="B66" s="209" t="s">
        <v>94</v>
      </c>
      <c r="C66" s="543" t="s">
        <v>30</v>
      </c>
      <c r="D66" s="544"/>
      <c r="E66" s="29"/>
      <c r="F66" s="373" t="s">
        <v>347</v>
      </c>
      <c r="G66" s="364"/>
    </row>
    <row r="67" spans="1:7" s="13" customFormat="1" ht="26.25" thickBot="1" x14ac:dyDescent="0.3">
      <c r="A67" s="25" t="s">
        <v>55</v>
      </c>
      <c r="B67" s="209" t="s">
        <v>95</v>
      </c>
      <c r="C67" s="608"/>
      <c r="D67" s="609"/>
      <c r="E67" s="259"/>
      <c r="F67" s="373" t="s">
        <v>453</v>
      </c>
      <c r="G67" s="364"/>
    </row>
    <row r="68" spans="1:7" s="13" customFormat="1" ht="26.25" thickBot="1" x14ac:dyDescent="0.3">
      <c r="A68" s="25" t="s">
        <v>32</v>
      </c>
      <c r="B68" s="209" t="s">
        <v>96</v>
      </c>
      <c r="C68" s="543" t="s">
        <v>30</v>
      </c>
      <c r="D68" s="544"/>
      <c r="E68" s="29"/>
      <c r="F68" s="373" t="s">
        <v>348</v>
      </c>
      <c r="G68" s="364"/>
    </row>
    <row r="69" spans="1:7" s="13" customFormat="1" ht="39" thickBot="1" x14ac:dyDescent="0.3">
      <c r="A69" s="25" t="s">
        <v>56</v>
      </c>
      <c r="B69" s="209" t="s">
        <v>528</v>
      </c>
      <c r="C69" s="608"/>
      <c r="D69" s="609"/>
      <c r="E69" s="259"/>
      <c r="F69" s="373"/>
      <c r="G69" s="364"/>
    </row>
    <row r="70" spans="1:7" s="13" customFormat="1" ht="30" customHeight="1" thickBot="1" x14ac:dyDescent="0.3">
      <c r="A70" s="25" t="s">
        <v>48</v>
      </c>
      <c r="B70" s="209" t="s">
        <v>527</v>
      </c>
      <c r="C70" s="608"/>
      <c r="D70" s="609"/>
      <c r="E70" s="259"/>
      <c r="F70" s="373"/>
      <c r="G70" s="364"/>
    </row>
    <row r="71" spans="1:7" s="13" customFormat="1" ht="41.45" customHeight="1" thickBot="1" x14ac:dyDescent="0.3">
      <c r="A71" s="25" t="s">
        <v>49</v>
      </c>
      <c r="B71" s="209" t="s">
        <v>103</v>
      </c>
      <c r="C71" s="571" t="s">
        <v>526</v>
      </c>
      <c r="D71" s="572"/>
      <c r="E71" s="259"/>
      <c r="F71" s="373" t="s">
        <v>525</v>
      </c>
      <c r="G71" s="364"/>
    </row>
    <row r="72" spans="1:7" s="13" customFormat="1" ht="26.25" thickBot="1" x14ac:dyDescent="0.3">
      <c r="A72" s="25" t="s">
        <v>46</v>
      </c>
      <c r="B72" s="209" t="s">
        <v>81</v>
      </c>
      <c r="C72" s="608"/>
      <c r="D72" s="609"/>
      <c r="E72" s="259"/>
      <c r="F72" s="373"/>
      <c r="G72" s="364"/>
    </row>
    <row r="73" spans="1:7" ht="13.5" thickBot="1" x14ac:dyDescent="0.25">
      <c r="F73" s="301"/>
      <c r="G73" s="301"/>
    </row>
    <row r="74" spans="1:7" s="16" customFormat="1" ht="18" customHeight="1" thickBot="1" x14ac:dyDescent="0.3">
      <c r="A74" s="620" t="s">
        <v>627</v>
      </c>
      <c r="B74" s="537"/>
      <c r="C74" s="537"/>
      <c r="D74" s="538"/>
      <c r="E74" s="206"/>
      <c r="F74" s="610" t="s">
        <v>615</v>
      </c>
      <c r="G74" s="611"/>
    </row>
    <row r="75" spans="1:7" s="3" customFormat="1" ht="30.75" customHeight="1" thickBot="1" x14ac:dyDescent="0.3">
      <c r="A75" s="19" t="s">
        <v>33</v>
      </c>
      <c r="B75" s="211" t="s">
        <v>7</v>
      </c>
      <c r="C75" s="614" t="s">
        <v>165</v>
      </c>
      <c r="D75" s="615"/>
      <c r="E75" s="34"/>
      <c r="F75" s="479" t="s">
        <v>184</v>
      </c>
      <c r="G75" s="480" t="s">
        <v>509</v>
      </c>
    </row>
    <row r="76" spans="1:7" s="13" customFormat="1" ht="42.75" customHeight="1" thickBot="1" x14ac:dyDescent="0.3">
      <c r="A76" s="18" t="s">
        <v>83</v>
      </c>
      <c r="B76" s="212" t="s">
        <v>146</v>
      </c>
      <c r="C76" s="606"/>
      <c r="D76" s="607"/>
      <c r="E76" s="259"/>
      <c r="F76" s="393"/>
      <c r="G76" s="394">
        <f>-1117.06*('PPI Adj'!L6)</f>
        <v>-1155.0400400000001</v>
      </c>
    </row>
    <row r="77" spans="1:7" s="13" customFormat="1" ht="27.75" customHeight="1" thickBot="1" x14ac:dyDescent="0.3">
      <c r="A77" s="25" t="s">
        <v>34</v>
      </c>
      <c r="B77" s="209" t="s">
        <v>522</v>
      </c>
      <c r="C77" s="543" t="s">
        <v>30</v>
      </c>
      <c r="D77" s="544"/>
      <c r="E77" s="29"/>
      <c r="F77" s="395" t="s">
        <v>349</v>
      </c>
      <c r="G77" s="396">
        <f>588.39*('PPI Adj'!L6)</f>
        <v>608.39526000000001</v>
      </c>
    </row>
    <row r="78" spans="1:7" s="13" customFormat="1" ht="39" thickBot="1" x14ac:dyDescent="0.3">
      <c r="A78" s="25" t="s">
        <v>35</v>
      </c>
      <c r="B78" s="209" t="s">
        <v>97</v>
      </c>
      <c r="C78" s="606"/>
      <c r="D78" s="607"/>
      <c r="E78" s="259"/>
      <c r="F78" s="395"/>
      <c r="G78" s="396">
        <f>288.67*('PPI Adj'!L6)</f>
        <v>298.48478</v>
      </c>
    </row>
    <row r="79" spans="1:7" s="13" customFormat="1" ht="39" thickBot="1" x14ac:dyDescent="0.3">
      <c r="A79" s="25" t="s">
        <v>36</v>
      </c>
      <c r="B79" s="209" t="s">
        <v>521</v>
      </c>
      <c r="C79" s="543" t="s">
        <v>99</v>
      </c>
      <c r="D79" s="544"/>
      <c r="E79" s="29"/>
      <c r="F79" s="395" t="s">
        <v>384</v>
      </c>
      <c r="G79" s="396">
        <f>320.74*('PPI Adj'!L6)</f>
        <v>331.64516000000003</v>
      </c>
    </row>
    <row r="80" spans="1:7" s="13" customFormat="1" ht="53.25" customHeight="1" x14ac:dyDescent="0.25">
      <c r="A80" s="23" t="s">
        <v>60</v>
      </c>
      <c r="B80" s="208" t="s">
        <v>520</v>
      </c>
      <c r="C80" s="521" t="s">
        <v>203</v>
      </c>
      <c r="D80" s="522"/>
      <c r="E80" s="29"/>
      <c r="F80" s="397" t="s">
        <v>368</v>
      </c>
      <c r="G80" s="481">
        <f>1201.12*('PPI Adj'!L6)</f>
        <v>1241.9580799999999</v>
      </c>
    </row>
    <row r="81" spans="1:7" s="13" customFormat="1" ht="27.75" customHeight="1" x14ac:dyDescent="0.25">
      <c r="A81" s="110"/>
      <c r="B81" s="210"/>
      <c r="C81" s="527" t="s">
        <v>517</v>
      </c>
      <c r="D81" s="528"/>
      <c r="E81" s="29"/>
      <c r="F81" s="399">
        <v>2470</v>
      </c>
      <c r="G81" s="482"/>
    </row>
    <row r="82" spans="1:7" s="13" customFormat="1" ht="15" customHeight="1" x14ac:dyDescent="0.25">
      <c r="A82" s="110"/>
      <c r="B82" s="210"/>
      <c r="C82" s="616" t="s">
        <v>114</v>
      </c>
      <c r="D82" s="617"/>
      <c r="E82" s="29"/>
      <c r="F82" s="399" t="s">
        <v>352</v>
      </c>
      <c r="G82" s="482"/>
    </row>
    <row r="83" spans="1:7" s="13" customFormat="1" ht="15.75" customHeight="1" thickBot="1" x14ac:dyDescent="0.3">
      <c r="A83" s="24"/>
      <c r="B83" s="207"/>
      <c r="C83" s="523" t="s">
        <v>115</v>
      </c>
      <c r="D83" s="524"/>
      <c r="E83" s="29"/>
      <c r="F83" s="393" t="s">
        <v>353</v>
      </c>
      <c r="G83" s="394"/>
    </row>
    <row r="84" spans="1:7" s="13" customFormat="1" ht="51.75" customHeight="1" x14ac:dyDescent="0.25">
      <c r="A84" s="23" t="s">
        <v>61</v>
      </c>
      <c r="B84" s="208" t="s">
        <v>519</v>
      </c>
      <c r="C84" s="618" t="s">
        <v>205</v>
      </c>
      <c r="D84" s="619"/>
      <c r="E84" s="29"/>
      <c r="F84" s="397" t="s">
        <v>368</v>
      </c>
      <c r="G84" s="481">
        <f>1685.54*('PPI Adj'!L6)</f>
        <v>1742.84836</v>
      </c>
    </row>
    <row r="85" spans="1:7" s="13" customFormat="1" ht="29.25" customHeight="1" x14ac:dyDescent="0.25">
      <c r="A85" s="110"/>
      <c r="B85" s="210"/>
      <c r="C85" s="616" t="s">
        <v>518</v>
      </c>
      <c r="D85" s="617"/>
      <c r="E85" s="29"/>
      <c r="F85" s="402">
        <v>2680</v>
      </c>
      <c r="G85" s="482"/>
    </row>
    <row r="86" spans="1:7" s="13" customFormat="1" ht="52.5" customHeight="1" x14ac:dyDescent="0.25">
      <c r="A86" s="110"/>
      <c r="B86" s="210"/>
      <c r="C86" s="616" t="s">
        <v>203</v>
      </c>
      <c r="D86" s="617"/>
      <c r="E86" s="29"/>
      <c r="F86" s="402" t="s">
        <v>368</v>
      </c>
      <c r="G86" s="482"/>
    </row>
    <row r="87" spans="1:7" s="13" customFormat="1" ht="29.25" customHeight="1" x14ac:dyDescent="0.25">
      <c r="A87" s="110"/>
      <c r="B87" s="210"/>
      <c r="C87" s="616" t="s">
        <v>517</v>
      </c>
      <c r="D87" s="617"/>
      <c r="E87" s="29"/>
      <c r="F87" s="399">
        <v>2470</v>
      </c>
      <c r="G87" s="482"/>
    </row>
    <row r="88" spans="1:7" s="13" customFormat="1" ht="15" customHeight="1" x14ac:dyDescent="0.25">
      <c r="A88" s="110"/>
      <c r="B88" s="210"/>
      <c r="C88" s="616" t="s">
        <v>112</v>
      </c>
      <c r="D88" s="617"/>
      <c r="E88" s="29"/>
      <c r="F88" s="399" t="s">
        <v>308</v>
      </c>
      <c r="G88" s="482"/>
    </row>
    <row r="89" spans="1:7" s="13" customFormat="1" ht="15" customHeight="1" x14ac:dyDescent="0.25">
      <c r="A89" s="110"/>
      <c r="B89" s="210"/>
      <c r="C89" s="616" t="s">
        <v>113</v>
      </c>
      <c r="D89" s="617"/>
      <c r="E89" s="29"/>
      <c r="F89" s="402" t="s">
        <v>356</v>
      </c>
      <c r="G89" s="482"/>
    </row>
    <row r="90" spans="1:7" s="13" customFormat="1" ht="15" customHeight="1" x14ac:dyDescent="0.25">
      <c r="A90" s="110"/>
      <c r="B90" s="210"/>
      <c r="C90" s="616" t="s">
        <v>114</v>
      </c>
      <c r="D90" s="617"/>
      <c r="E90" s="29"/>
      <c r="F90" s="402" t="s">
        <v>380</v>
      </c>
      <c r="G90" s="482"/>
    </row>
    <row r="91" spans="1:7" s="13" customFormat="1" ht="15.75" customHeight="1" thickBot="1" x14ac:dyDescent="0.3">
      <c r="A91" s="24"/>
      <c r="B91" s="207"/>
      <c r="C91" s="523" t="s">
        <v>115</v>
      </c>
      <c r="D91" s="524"/>
      <c r="E91" s="29"/>
      <c r="F91" s="393" t="s">
        <v>356</v>
      </c>
      <c r="G91" s="394"/>
    </row>
    <row r="92" spans="1:7" s="13" customFormat="1" ht="131.25" customHeight="1" thickBot="1" x14ac:dyDescent="0.3">
      <c r="A92" s="17" t="s">
        <v>86</v>
      </c>
      <c r="B92" s="213" t="s">
        <v>143</v>
      </c>
      <c r="C92" s="543" t="s">
        <v>104</v>
      </c>
      <c r="D92" s="544"/>
      <c r="E92" s="29"/>
      <c r="F92" s="397" t="s">
        <v>357</v>
      </c>
      <c r="G92" s="396">
        <f>946.74*('PPI Adj'!L6)</f>
        <v>978.92916000000002</v>
      </c>
    </row>
    <row r="93" spans="1:7" ht="50.65" customHeight="1" x14ac:dyDescent="0.2">
      <c r="A93" s="23" t="s">
        <v>13</v>
      </c>
      <c r="B93" s="208" t="s">
        <v>98</v>
      </c>
      <c r="C93" s="521" t="s">
        <v>30</v>
      </c>
      <c r="D93" s="522"/>
      <c r="E93" s="29"/>
      <c r="F93" s="397" t="s">
        <v>358</v>
      </c>
      <c r="G93" s="481">
        <f>11945.91*('PPI Adj'!L6)</f>
        <v>12352.07094</v>
      </c>
    </row>
    <row r="94" spans="1:7" ht="18" customHeight="1" thickBot="1" x14ac:dyDescent="0.25">
      <c r="A94" s="24"/>
      <c r="B94" s="207"/>
      <c r="C94" s="523" t="s">
        <v>109</v>
      </c>
      <c r="D94" s="524"/>
      <c r="E94" s="29"/>
      <c r="F94" s="393" t="s">
        <v>359</v>
      </c>
      <c r="G94" s="394"/>
    </row>
    <row r="95" spans="1:7" ht="64.5" thickBot="1" x14ac:dyDescent="0.25">
      <c r="A95" s="25" t="s">
        <v>37</v>
      </c>
      <c r="B95" s="209" t="s">
        <v>135</v>
      </c>
      <c r="C95" s="571" t="s">
        <v>516</v>
      </c>
      <c r="D95" s="572"/>
      <c r="E95" s="259"/>
      <c r="F95" s="393" t="s">
        <v>375</v>
      </c>
      <c r="G95" s="394">
        <f>553*('PPI Adj'!L6)</f>
        <v>571.80200000000002</v>
      </c>
    </row>
    <row r="96" spans="1:7" ht="26.25" thickBot="1" x14ac:dyDescent="0.25">
      <c r="A96" s="25" t="s">
        <v>38</v>
      </c>
      <c r="B96" s="209" t="s">
        <v>87</v>
      </c>
      <c r="C96" s="608"/>
      <c r="D96" s="609"/>
      <c r="E96" s="259"/>
      <c r="F96" s="395"/>
      <c r="G96" s="396">
        <f>732.17*('PPI Adj'!L6)</f>
        <v>757.06377999999995</v>
      </c>
    </row>
    <row r="97" spans="1:10" ht="26.25" thickBot="1" x14ac:dyDescent="0.25">
      <c r="A97" s="25" t="s">
        <v>39</v>
      </c>
      <c r="B97" s="209" t="s">
        <v>106</v>
      </c>
      <c r="C97" s="543" t="s">
        <v>105</v>
      </c>
      <c r="D97" s="544"/>
      <c r="E97" s="29"/>
      <c r="F97" s="395" t="s">
        <v>207</v>
      </c>
      <c r="G97" s="396">
        <f>975.49*('PPI Adj'!L6)</f>
        <v>1008.65666</v>
      </c>
    </row>
    <row r="98" spans="1:10" ht="44.45" customHeight="1" thickBot="1" x14ac:dyDescent="0.25">
      <c r="A98" s="25" t="s">
        <v>90</v>
      </c>
      <c r="B98" s="209" t="s">
        <v>129</v>
      </c>
      <c r="C98" s="571" t="s">
        <v>515</v>
      </c>
      <c r="D98" s="572"/>
      <c r="E98" s="259"/>
      <c r="F98" s="395" t="s">
        <v>454</v>
      </c>
      <c r="G98" s="396">
        <f>436.73*('PPI Adj'!L6)</f>
        <v>451.57882000000001</v>
      </c>
    </row>
    <row r="99" spans="1:10" ht="43.5" customHeight="1" thickBot="1" x14ac:dyDescent="0.25">
      <c r="A99" s="25" t="s">
        <v>40</v>
      </c>
      <c r="B99" s="209" t="s">
        <v>137</v>
      </c>
      <c r="C99" s="543" t="s">
        <v>100</v>
      </c>
      <c r="D99" s="544"/>
      <c r="E99" s="29"/>
      <c r="F99" s="395" t="s">
        <v>360</v>
      </c>
      <c r="G99" s="396">
        <f>225.62*('PPI Adj'!L6)</f>
        <v>233.29108000000002</v>
      </c>
    </row>
    <row r="100" spans="1:10" ht="40.15" customHeight="1" x14ac:dyDescent="0.2">
      <c r="A100" s="23" t="s">
        <v>14</v>
      </c>
      <c r="B100" s="208" t="s">
        <v>138</v>
      </c>
      <c r="C100" s="618" t="s">
        <v>139</v>
      </c>
      <c r="D100" s="619"/>
      <c r="E100" s="29"/>
      <c r="F100" s="483" t="s">
        <v>514</v>
      </c>
      <c r="G100" s="481">
        <f>13611.29*('PPI Adj'!L6)</f>
        <v>14074.07386</v>
      </c>
    </row>
    <row r="101" spans="1:10" ht="57" customHeight="1" thickBot="1" x14ac:dyDescent="0.25">
      <c r="A101" s="24"/>
      <c r="B101" s="207"/>
      <c r="C101" s="523" t="s">
        <v>274</v>
      </c>
      <c r="D101" s="524"/>
      <c r="E101" s="29"/>
      <c r="F101" s="467"/>
      <c r="G101" s="394"/>
    </row>
    <row r="102" spans="1:10" ht="68.25" customHeight="1" thickBot="1" x14ac:dyDescent="0.25">
      <c r="A102" s="25" t="s">
        <v>91</v>
      </c>
      <c r="B102" s="209" t="s">
        <v>144</v>
      </c>
      <c r="C102" s="543" t="s">
        <v>100</v>
      </c>
      <c r="D102" s="544"/>
      <c r="E102" s="29"/>
      <c r="F102" s="395" t="s">
        <v>361</v>
      </c>
      <c r="G102" s="396">
        <f>2179.93*('PPI Adj'!L6)</f>
        <v>2254.0476199999998</v>
      </c>
    </row>
    <row r="103" spans="1:10" ht="51.75" thickBot="1" x14ac:dyDescent="0.25">
      <c r="A103" s="25" t="s">
        <v>92</v>
      </c>
      <c r="B103" s="209" t="s">
        <v>145</v>
      </c>
      <c r="C103" s="608"/>
      <c r="D103" s="609"/>
      <c r="E103" s="259"/>
      <c r="F103" s="395"/>
      <c r="G103" s="396">
        <f>-2237.44*('PPI Adj'!L6)</f>
        <v>-2313.51296</v>
      </c>
    </row>
    <row r="104" spans="1:10" ht="13.5" thickBot="1" x14ac:dyDescent="0.25">
      <c r="F104" s="301"/>
      <c r="G104" s="301"/>
    </row>
    <row r="105" spans="1:10" s="16" customFormat="1" ht="31.5" customHeight="1" thickBot="1" x14ac:dyDescent="0.3">
      <c r="A105" s="536" t="s">
        <v>629</v>
      </c>
      <c r="B105" s="537"/>
      <c r="C105" s="537"/>
      <c r="D105" s="538"/>
      <c r="E105" s="206"/>
      <c r="F105" s="610" t="s">
        <v>615</v>
      </c>
      <c r="G105" s="611"/>
    </row>
    <row r="106" spans="1:10" s="16" customFormat="1" ht="24.75" customHeight="1" thickBot="1" x14ac:dyDescent="0.3">
      <c r="A106" s="575" t="s">
        <v>630</v>
      </c>
      <c r="B106" s="612"/>
      <c r="C106" s="612"/>
      <c r="D106" s="613"/>
      <c r="E106" s="206"/>
      <c r="F106" s="578" t="s">
        <v>184</v>
      </c>
      <c r="G106" s="580" t="s">
        <v>509</v>
      </c>
      <c r="H106" s="206"/>
      <c r="I106" s="206"/>
      <c r="J106" s="206"/>
    </row>
    <row r="107" spans="1:10" ht="26.25" customHeight="1" thickBot="1" x14ac:dyDescent="0.25">
      <c r="A107" s="49" t="s">
        <v>33</v>
      </c>
      <c r="B107" s="216" t="s">
        <v>7</v>
      </c>
      <c r="C107" s="614" t="s">
        <v>165</v>
      </c>
      <c r="D107" s="615"/>
      <c r="E107" s="34"/>
      <c r="F107" s="579"/>
      <c r="G107" s="581"/>
      <c r="I107" s="9"/>
    </row>
    <row r="108" spans="1:10" ht="144.75" customHeight="1" thickBot="1" x14ac:dyDescent="0.25">
      <c r="A108" s="269" t="s">
        <v>85</v>
      </c>
      <c r="B108" s="270" t="s">
        <v>170</v>
      </c>
      <c r="C108" s="527" t="s">
        <v>104</v>
      </c>
      <c r="D108" s="528"/>
      <c r="E108" s="13"/>
      <c r="F108" s="393" t="s">
        <v>357</v>
      </c>
      <c r="G108" s="394">
        <f>6663.08*('PPI Adj'!L6)</f>
        <v>6889.6247199999998</v>
      </c>
      <c r="I108" s="9"/>
    </row>
    <row r="109" spans="1:10" ht="45" customHeight="1" x14ac:dyDescent="0.2">
      <c r="A109" s="271" t="s">
        <v>20</v>
      </c>
      <c r="B109" s="219" t="s">
        <v>649</v>
      </c>
      <c r="C109" s="602"/>
      <c r="D109" s="603"/>
      <c r="E109" s="220"/>
      <c r="F109" s="452"/>
      <c r="G109" s="477">
        <f>1741*('PPI Adj'!L6)</f>
        <v>1800.194</v>
      </c>
      <c r="I109" s="9"/>
    </row>
    <row r="110" spans="1:10" ht="26.25" thickBot="1" x14ac:dyDescent="0.25">
      <c r="A110" s="272" t="s">
        <v>82</v>
      </c>
      <c r="B110" s="120" t="s">
        <v>130</v>
      </c>
      <c r="C110" s="604"/>
      <c r="D110" s="605"/>
      <c r="E110" s="259"/>
      <c r="F110" s="393"/>
      <c r="G110" s="394">
        <f>1071*('PPI Adj'!L6)</f>
        <v>1107.414</v>
      </c>
    </row>
    <row r="111" spans="1:10" ht="39" thickBot="1" x14ac:dyDescent="0.25">
      <c r="A111" s="273" t="s">
        <v>272</v>
      </c>
      <c r="B111" s="119" t="s">
        <v>506</v>
      </c>
      <c r="C111" s="606"/>
      <c r="D111" s="607"/>
      <c r="E111" s="29"/>
      <c r="F111" s="395"/>
      <c r="G111" s="396"/>
      <c r="H111" s="274"/>
      <c r="I111" s="121"/>
    </row>
  </sheetData>
  <sheetProtection algorithmName="SHA-512" hashValue="URNF4C7Ne1oBXky8jCrpo9TZaBU4T31sCT9pxDD05iYeZFyycofinBPgsMvwDgODWyuP7gQMQU+KvNqCFvkOUQ==" saltValue="dFCzD30xwBEs4BiY7FmKYg==" spinCount="100000" sheet="1" objects="1" scenarios="1"/>
  <dataConsolidate/>
  <mergeCells count="100">
    <mergeCell ref="A27:D27"/>
    <mergeCell ref="A3:D3"/>
    <mergeCell ref="A4:D4"/>
    <mergeCell ref="A6:D6"/>
    <mergeCell ref="B9:D9"/>
    <mergeCell ref="B13:D13"/>
    <mergeCell ref="B17:D17"/>
    <mergeCell ref="B18:D18"/>
    <mergeCell ref="B19:D19"/>
    <mergeCell ref="A21:D21"/>
    <mergeCell ref="B23:D23"/>
    <mergeCell ref="B24:D24"/>
    <mergeCell ref="C39:D39"/>
    <mergeCell ref="C28:D28"/>
    <mergeCell ref="C29:D29"/>
    <mergeCell ref="C30:D30"/>
    <mergeCell ref="C31:D31"/>
    <mergeCell ref="C32:D32"/>
    <mergeCell ref="C33:D33"/>
    <mergeCell ref="C34:D34"/>
    <mergeCell ref="C35:D35"/>
    <mergeCell ref="C36:D36"/>
    <mergeCell ref="C37:D37"/>
    <mergeCell ref="C38:D38"/>
    <mergeCell ref="C59:D59"/>
    <mergeCell ref="C60:D60"/>
    <mergeCell ref="C61:D61"/>
    <mergeCell ref="A43:A50"/>
    <mergeCell ref="B43:B50"/>
    <mergeCell ref="C43:D43"/>
    <mergeCell ref="C44:D44"/>
    <mergeCell ref="C45:D45"/>
    <mergeCell ref="C46:D46"/>
    <mergeCell ref="C47:D47"/>
    <mergeCell ref="C48:D48"/>
    <mergeCell ref="C49:D49"/>
    <mergeCell ref="C50:D50"/>
    <mergeCell ref="C54:D54"/>
    <mergeCell ref="C55:D55"/>
    <mergeCell ref="C56:D56"/>
    <mergeCell ref="C57:D57"/>
    <mergeCell ref="C58:D58"/>
    <mergeCell ref="C53:D53"/>
    <mergeCell ref="C40:D40"/>
    <mergeCell ref="C41:D41"/>
    <mergeCell ref="C42:D42"/>
    <mergeCell ref="C51:D51"/>
    <mergeCell ref="C52:D52"/>
    <mergeCell ref="C62:D62"/>
    <mergeCell ref="C63:D63"/>
    <mergeCell ref="C64:D64"/>
    <mergeCell ref="C67:D67"/>
    <mergeCell ref="C68:D68"/>
    <mergeCell ref="C66:D66"/>
    <mergeCell ref="C65:D65"/>
    <mergeCell ref="C69:D69"/>
    <mergeCell ref="C70:D70"/>
    <mergeCell ref="F74:G74"/>
    <mergeCell ref="C71:D71"/>
    <mergeCell ref="C72:D72"/>
    <mergeCell ref="A74:D74"/>
    <mergeCell ref="C75:D75"/>
    <mergeCell ref="C76:D76"/>
    <mergeCell ref="C89:D89"/>
    <mergeCell ref="C78:D78"/>
    <mergeCell ref="C79:D79"/>
    <mergeCell ref="C80:D80"/>
    <mergeCell ref="C81:D81"/>
    <mergeCell ref="C82:D82"/>
    <mergeCell ref="C83:D83"/>
    <mergeCell ref="C84:D84"/>
    <mergeCell ref="C85:D85"/>
    <mergeCell ref="C86:D86"/>
    <mergeCell ref="C87:D87"/>
    <mergeCell ref="C88:D88"/>
    <mergeCell ref="C77:D77"/>
    <mergeCell ref="C101:D101"/>
    <mergeCell ref="C90:D90"/>
    <mergeCell ref="C91:D91"/>
    <mergeCell ref="C92:D92"/>
    <mergeCell ref="C93:D93"/>
    <mergeCell ref="C94:D94"/>
    <mergeCell ref="C95:D95"/>
    <mergeCell ref="C96:D96"/>
    <mergeCell ref="C97:D97"/>
    <mergeCell ref="C98:D98"/>
    <mergeCell ref="C99:D99"/>
    <mergeCell ref="C100:D100"/>
    <mergeCell ref="F105:G105"/>
    <mergeCell ref="A106:D106"/>
    <mergeCell ref="F106:F107"/>
    <mergeCell ref="G106:G107"/>
    <mergeCell ref="C107:D107"/>
    <mergeCell ref="C108:D108"/>
    <mergeCell ref="C109:D109"/>
    <mergeCell ref="C110:D110"/>
    <mergeCell ref="C111:D111"/>
    <mergeCell ref="C102:D102"/>
    <mergeCell ref="C103:D103"/>
    <mergeCell ref="A105:D105"/>
  </mergeCells>
  <conditionalFormatting sqref="F8:F19">
    <cfRule type="expression" dxfId="162" priority="4">
      <formula>#REF!="NO"</formula>
    </cfRule>
  </conditionalFormatting>
  <conditionalFormatting sqref="F23:F24 E29:F70 C29:C72 F71 E72:F72 E76:G97 C76:C103 F98:G98 E99:G100 E102:G103 E108:F108 C108:C111 E110:G110 E111:I111">
    <cfRule type="expression" dxfId="161" priority="3">
      <formula>#REF!="NO"</formula>
    </cfRule>
  </conditionalFormatting>
  <conditionalFormatting sqref="F109">
    <cfRule type="expression" dxfId="160" priority="2">
      <formula>#REF!="NO"</formula>
    </cfRule>
  </conditionalFormatting>
  <conditionalFormatting sqref="G108:G109">
    <cfRule type="expression" dxfId="159" priority="1">
      <formula>#REF!="NO"</formula>
    </cfRule>
  </conditionalFormatting>
  <dataValidations count="4">
    <dataValidation type="decimal" operator="greaterThanOrEqual" allowBlank="1" showInputMessage="1" showErrorMessage="1" error="The Pickup Allowance cannot be a negative number." sqref="F18" xr:uid="{019C9304-9D0D-421E-AAEB-4AA4D018AE35}">
      <formula1>0</formula1>
    </dataValidation>
    <dataValidation type="list" allowBlank="1" showInputMessage="1" showErrorMessage="1" errorTitle="Error" error="Invalid Entry – Bidder must enter YES in uppercase or refrain from answering." sqref="C42 C72 C103 C32 C96 C78 C69:C70 C76 C58:C61 C63:C65 C67 C109:C111" xr:uid="{80CF732A-AC4B-4FF7-BE60-11B07539327E}">
      <formula1>"YES, NO"</formula1>
    </dataValidation>
    <dataValidation type="decimal" allowBlank="1" showInputMessage="1" showErrorMessage="1" error="The Additional Options NYS Discount entered must be greater than 0%, or less than or equal to 100%." sqref="F24" xr:uid="{DA9BA4D5-8FFF-4B81-A3CE-04C6C13F42CA}">
      <formula1>0.01</formula1>
      <formula2>100</formula2>
    </dataValidation>
    <dataValidation type="decimal" allowBlank="1" showInputMessage="1" showErrorMessage="1" error="Invalid Entry - Bidder must enter a value that is greater than $0" sqref="F23" xr:uid="{E02B8B27-7D07-42FA-A441-12A5CD3A6715}">
      <formula1>0</formula1>
      <formula2>9E+21</formula2>
    </dataValidation>
  </dataValidations>
  <pageMargins left="0.25" right="0.25" top="0.75" bottom="0.25" header="0.3" footer="0.3"/>
  <pageSetup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3681B-904B-42B5-87CF-0AA72F411088}">
  <sheetPr>
    <tabColor rgb="FFCC66FF"/>
    <pageSetUpPr autoPageBreaks="0" fitToPage="1"/>
  </sheetPr>
  <dimension ref="A1:H110"/>
  <sheetViews>
    <sheetView showGridLines="0" zoomScaleNormal="100" workbookViewId="0">
      <selection activeCell="M13" sqref="M13"/>
    </sheetView>
  </sheetViews>
  <sheetFormatPr defaultColWidth="9.140625" defaultRowHeight="12.75" x14ac:dyDescent="0.2"/>
  <cols>
    <col min="1" max="1" width="19.140625" style="2" customWidth="1"/>
    <col min="2" max="2" width="75.28515625" style="2" customWidth="1"/>
    <col min="3" max="3" width="6.85546875" style="2" customWidth="1"/>
    <col min="4" max="4" width="13.7109375" style="2" customWidth="1"/>
    <col min="5" max="5" width="4.28515625" style="5" customWidth="1"/>
    <col min="6" max="9" width="20.7109375" style="2" customWidth="1"/>
    <col min="10" max="16384" width="9.140625" style="2"/>
  </cols>
  <sheetData>
    <row r="1" spans="1:7" ht="18" customHeight="1" x14ac:dyDescent="0.2">
      <c r="A1" s="86" t="s">
        <v>631</v>
      </c>
      <c r="E1" s="2"/>
    </row>
    <row r="2" spans="1:7" s="20" customFormat="1" ht="18" customHeight="1" thickBot="1" x14ac:dyDescent="0.3">
      <c r="A2" s="20" t="str">
        <f>'Attachment 1 - Summary'!B2</f>
        <v>PC69863 Nesco Bus and Truck Sales, Inc.</v>
      </c>
      <c r="B2" s="21"/>
      <c r="C2" s="21"/>
      <c r="D2" s="21"/>
      <c r="E2" s="21"/>
      <c r="F2" s="21"/>
      <c r="G2" s="21"/>
    </row>
    <row r="3" spans="1:7" ht="23.25" x14ac:dyDescent="0.2">
      <c r="A3" s="641" t="s">
        <v>569</v>
      </c>
      <c r="B3" s="642"/>
      <c r="C3" s="642"/>
      <c r="D3" s="643"/>
      <c r="E3" s="247"/>
      <c r="F3" s="8"/>
      <c r="G3" s="8"/>
    </row>
    <row r="4" spans="1:7" ht="51" customHeight="1" thickBot="1" x14ac:dyDescent="0.25">
      <c r="A4" s="592" t="s">
        <v>568</v>
      </c>
      <c r="B4" s="593"/>
      <c r="C4" s="593"/>
      <c r="D4" s="594"/>
      <c r="E4" s="198"/>
      <c r="F4" s="8"/>
      <c r="G4" s="8"/>
    </row>
    <row r="5" spans="1:7" s="4" customFormat="1" ht="11.25" customHeight="1" thickBot="1" x14ac:dyDescent="0.3">
      <c r="A5" s="644"/>
      <c r="B5" s="645"/>
      <c r="C5" s="645"/>
      <c r="D5" s="645"/>
      <c r="E5" s="646"/>
      <c r="F5" s="191"/>
      <c r="G5" s="191"/>
    </row>
    <row r="6" spans="1:7" s="7" customFormat="1" ht="16.5" customHeight="1" thickBot="1" x14ac:dyDescent="0.25">
      <c r="A6" s="104" t="s">
        <v>151</v>
      </c>
      <c r="B6" s="105"/>
      <c r="C6" s="105"/>
      <c r="D6" s="106"/>
      <c r="E6" s="200"/>
      <c r="F6" s="248" t="s">
        <v>180</v>
      </c>
    </row>
    <row r="7" spans="1:7" s="4" customFormat="1" ht="23.25" customHeight="1" thickBot="1" x14ac:dyDescent="0.3">
      <c r="A7" s="175" t="s">
        <v>6</v>
      </c>
      <c r="B7" s="174" t="s">
        <v>601</v>
      </c>
      <c r="C7" s="173"/>
      <c r="D7" s="201"/>
      <c r="E7" s="34"/>
      <c r="F7" s="249" t="s">
        <v>184</v>
      </c>
    </row>
    <row r="8" spans="1:7" ht="93.75" customHeight="1" thickTop="1" thickBot="1" x14ac:dyDescent="0.25">
      <c r="A8" s="166" t="s">
        <v>185</v>
      </c>
      <c r="B8" s="500" t="s">
        <v>612</v>
      </c>
      <c r="C8" s="501"/>
      <c r="D8" s="502"/>
      <c r="E8" s="13"/>
      <c r="F8" s="58" t="s">
        <v>566</v>
      </c>
    </row>
    <row r="9" spans="1:7" s="7" customFormat="1" ht="44.25" customHeight="1" thickTop="1" thickBot="1" x14ac:dyDescent="0.25">
      <c r="A9" s="166" t="s">
        <v>136</v>
      </c>
      <c r="B9" s="500" t="s">
        <v>613</v>
      </c>
      <c r="C9" s="501"/>
      <c r="D9" s="502"/>
      <c r="E9" s="13"/>
      <c r="F9" s="58" t="s">
        <v>564</v>
      </c>
    </row>
    <row r="10" spans="1:7" ht="12.75" customHeight="1" thickTop="1" x14ac:dyDescent="0.2">
      <c r="A10" s="184" t="s">
        <v>563</v>
      </c>
      <c r="B10" s="98" t="s">
        <v>617</v>
      </c>
      <c r="C10" s="99"/>
      <c r="D10" s="100"/>
      <c r="E10" s="13"/>
      <c r="F10" s="84">
        <v>2024</v>
      </c>
    </row>
    <row r="11" spans="1:7" ht="12.75" customHeight="1" x14ac:dyDescent="0.2">
      <c r="A11" s="162" t="s">
        <v>0</v>
      </c>
      <c r="B11" s="92" t="s">
        <v>618</v>
      </c>
      <c r="C11" s="93"/>
      <c r="D11" s="94"/>
      <c r="E11" s="13"/>
      <c r="F11" s="56" t="s">
        <v>180</v>
      </c>
    </row>
    <row r="12" spans="1:7" x14ac:dyDescent="0.2">
      <c r="A12" s="162" t="s">
        <v>1</v>
      </c>
      <c r="B12" s="92" t="s">
        <v>619</v>
      </c>
      <c r="C12" s="93"/>
      <c r="D12" s="94"/>
      <c r="E12" s="13"/>
      <c r="F12" s="56" t="s">
        <v>559</v>
      </c>
    </row>
    <row r="13" spans="1:7" ht="12.75" customHeight="1" thickBot="1" x14ac:dyDescent="0.25">
      <c r="A13" s="160" t="s">
        <v>2</v>
      </c>
      <c r="B13" s="95" t="s">
        <v>620</v>
      </c>
      <c r="C13" s="96"/>
      <c r="D13" s="97"/>
      <c r="E13" s="13"/>
      <c r="F13" s="59" t="s">
        <v>557</v>
      </c>
    </row>
    <row r="14" spans="1:7" ht="12.75" customHeight="1" thickTop="1" x14ac:dyDescent="0.2">
      <c r="A14" s="184" t="s">
        <v>556</v>
      </c>
      <c r="B14" s="98" t="s">
        <v>621</v>
      </c>
      <c r="C14" s="99"/>
      <c r="D14" s="100"/>
      <c r="E14" s="13"/>
      <c r="F14" s="84">
        <v>2024</v>
      </c>
    </row>
    <row r="15" spans="1:7" x14ac:dyDescent="0.2">
      <c r="A15" s="162" t="s">
        <v>3</v>
      </c>
      <c r="B15" s="92" t="s">
        <v>632</v>
      </c>
      <c r="C15" s="93"/>
      <c r="D15" s="94"/>
      <c r="E15" s="13"/>
      <c r="F15" s="56" t="s">
        <v>334</v>
      </c>
    </row>
    <row r="16" spans="1:7" x14ac:dyDescent="0.2">
      <c r="A16" s="162" t="s">
        <v>4</v>
      </c>
      <c r="B16" s="92" t="s">
        <v>623</v>
      </c>
      <c r="C16" s="93"/>
      <c r="D16" s="94"/>
      <c r="E16" s="13"/>
      <c r="F16" s="56" t="s">
        <v>335</v>
      </c>
    </row>
    <row r="17" spans="1:8" ht="13.5" customHeight="1" thickBot="1" x14ac:dyDescent="0.25">
      <c r="A17" s="179" t="s">
        <v>5</v>
      </c>
      <c r="B17" s="95" t="s">
        <v>624</v>
      </c>
      <c r="C17" s="96"/>
      <c r="D17" s="97"/>
      <c r="E17" s="13"/>
      <c r="F17" s="60" t="s">
        <v>387</v>
      </c>
    </row>
    <row r="18" spans="1:8" ht="29.25" customHeight="1" thickTop="1" x14ac:dyDescent="0.2">
      <c r="A18" s="162" t="s">
        <v>101</v>
      </c>
      <c r="B18" s="98" t="s">
        <v>226</v>
      </c>
      <c r="C18" s="99"/>
      <c r="D18" s="100"/>
      <c r="E18" s="13"/>
      <c r="F18" s="61">
        <v>100</v>
      </c>
    </row>
    <row r="19" spans="1:8" ht="30.75" customHeight="1" thickBot="1" x14ac:dyDescent="0.25">
      <c r="A19" s="179" t="s">
        <v>43</v>
      </c>
      <c r="B19" s="95" t="s">
        <v>626</v>
      </c>
      <c r="C19" s="96"/>
      <c r="D19" s="97"/>
      <c r="E19" s="13"/>
      <c r="F19" s="60" t="s">
        <v>549</v>
      </c>
    </row>
    <row r="20" spans="1:8" s="9" customFormat="1" ht="14.25" thickTop="1" thickBot="1" x14ac:dyDescent="0.25">
      <c r="E20" s="10"/>
      <c r="F20" s="10"/>
      <c r="G20" s="10"/>
      <c r="H20" s="10"/>
    </row>
    <row r="21" spans="1:8" s="11" customFormat="1" ht="16.5" customHeight="1" thickBot="1" x14ac:dyDescent="0.25">
      <c r="A21" s="104" t="s">
        <v>606</v>
      </c>
      <c r="B21" s="105"/>
      <c r="C21" s="105"/>
      <c r="D21" s="105"/>
      <c r="E21" s="200"/>
      <c r="F21" s="176"/>
    </row>
    <row r="22" spans="1:8" s="4" customFormat="1" ht="23.25" customHeight="1" thickBot="1" x14ac:dyDescent="0.3">
      <c r="A22" s="175" t="s">
        <v>6</v>
      </c>
      <c r="B22" s="174" t="s">
        <v>165</v>
      </c>
      <c r="C22" s="173"/>
      <c r="D22" s="173"/>
      <c r="E22" s="34"/>
      <c r="F22" s="233" t="s">
        <v>184</v>
      </c>
    </row>
    <row r="23" spans="1:8" ht="57" customHeight="1" thickTop="1" thickBot="1" x14ac:dyDescent="0.25">
      <c r="A23" s="171" t="s">
        <v>42</v>
      </c>
      <c r="B23" s="170" t="s">
        <v>161</v>
      </c>
      <c r="C23" s="169"/>
      <c r="D23" s="169"/>
      <c r="E23" s="13"/>
      <c r="F23" s="234">
        <v>294205.59999999998</v>
      </c>
    </row>
    <row r="24" spans="1:8" ht="57" customHeight="1" x14ac:dyDescent="0.2">
      <c r="A24" s="162" t="s">
        <v>41</v>
      </c>
      <c r="B24" s="226" t="s">
        <v>633</v>
      </c>
      <c r="C24" s="227"/>
      <c r="D24" s="227"/>
      <c r="E24" s="1"/>
      <c r="F24" s="235">
        <v>20</v>
      </c>
    </row>
    <row r="25" spans="1:8" x14ac:dyDescent="0.2">
      <c r="A25" s="156"/>
      <c r="B25" s="1"/>
      <c r="C25" s="1"/>
      <c r="D25" s="1"/>
      <c r="E25" s="205"/>
    </row>
    <row r="26" spans="1:8" x14ac:dyDescent="0.2">
      <c r="A26" s="156"/>
      <c r="B26" s="1"/>
      <c r="C26" s="1"/>
      <c r="D26" s="1"/>
      <c r="E26" s="205"/>
    </row>
    <row r="27" spans="1:8" s="7" customFormat="1" ht="15.75" customHeight="1" thickBot="1" x14ac:dyDescent="0.25">
      <c r="A27" s="225" t="s">
        <v>603</v>
      </c>
      <c r="B27" s="155"/>
      <c r="C27" s="155"/>
      <c r="D27" s="230"/>
      <c r="E27" s="206"/>
      <c r="F27" s="236"/>
    </row>
    <row r="28" spans="1:8" s="3" customFormat="1" ht="26.25" customHeight="1" thickBot="1" x14ac:dyDescent="0.3">
      <c r="A28" s="53" t="s">
        <v>6</v>
      </c>
      <c r="B28" s="53" t="s">
        <v>7</v>
      </c>
      <c r="C28" s="539" t="s">
        <v>601</v>
      </c>
      <c r="D28" s="624"/>
      <c r="E28" s="34"/>
      <c r="F28" s="237" t="s">
        <v>511</v>
      </c>
    </row>
    <row r="29" spans="1:8" s="13" customFormat="1" ht="39" thickBot="1" x14ac:dyDescent="0.3">
      <c r="A29" s="24" t="s">
        <v>8</v>
      </c>
      <c r="B29" s="24" t="s">
        <v>131</v>
      </c>
      <c r="C29" s="207"/>
      <c r="D29" s="107" t="s">
        <v>118</v>
      </c>
      <c r="E29" s="29"/>
      <c r="F29" s="238">
        <v>14500</v>
      </c>
    </row>
    <row r="30" spans="1:8" s="13" customFormat="1" ht="15" customHeight="1" x14ac:dyDescent="0.25">
      <c r="A30" s="519" t="s">
        <v>21</v>
      </c>
      <c r="B30" s="519" t="s">
        <v>535</v>
      </c>
      <c r="C30" s="208"/>
      <c r="D30" s="108" t="s">
        <v>67</v>
      </c>
      <c r="E30" s="29"/>
      <c r="F30" s="239">
        <v>4</v>
      </c>
    </row>
    <row r="31" spans="1:8" s="13" customFormat="1" ht="15.75" customHeight="1" thickBot="1" x14ac:dyDescent="0.3">
      <c r="A31" s="520"/>
      <c r="B31" s="520"/>
      <c r="C31" s="207"/>
      <c r="D31" s="107" t="s">
        <v>68</v>
      </c>
      <c r="E31" s="29"/>
      <c r="F31" s="238">
        <v>24</v>
      </c>
    </row>
    <row r="32" spans="1:8" s="13" customFormat="1" ht="15.75" customHeight="1" thickBot="1" x14ac:dyDescent="0.3">
      <c r="A32" s="25" t="s">
        <v>123</v>
      </c>
      <c r="B32" s="25" t="s">
        <v>108</v>
      </c>
      <c r="C32" s="209"/>
      <c r="D32" s="113"/>
      <c r="E32" s="30"/>
      <c r="F32" s="240"/>
    </row>
    <row r="33" spans="1:6" s="13" customFormat="1" ht="15" customHeight="1" x14ac:dyDescent="0.25">
      <c r="A33" s="519" t="s">
        <v>59</v>
      </c>
      <c r="B33" s="519"/>
      <c r="C33" s="208"/>
      <c r="D33" s="108" t="s">
        <v>58</v>
      </c>
      <c r="E33" s="29"/>
      <c r="F33" s="239">
        <v>158</v>
      </c>
    </row>
    <row r="34" spans="1:6" s="13" customFormat="1" ht="15" customHeight="1" x14ac:dyDescent="0.25">
      <c r="A34" s="526"/>
      <c r="B34" s="526"/>
      <c r="C34" s="210"/>
      <c r="D34" s="111" t="s">
        <v>57</v>
      </c>
      <c r="E34" s="29"/>
      <c r="F34" s="232">
        <v>260.3</v>
      </c>
    </row>
    <row r="35" spans="1:6" s="13" customFormat="1" ht="15" customHeight="1" x14ac:dyDescent="0.25">
      <c r="A35" s="526"/>
      <c r="B35" s="526"/>
      <c r="C35" s="210"/>
      <c r="D35" s="111" t="s">
        <v>69</v>
      </c>
      <c r="E35" s="29"/>
      <c r="F35" s="232">
        <v>90</v>
      </c>
    </row>
    <row r="36" spans="1:6" s="13" customFormat="1" ht="15" customHeight="1" x14ac:dyDescent="0.25">
      <c r="A36" s="526"/>
      <c r="B36" s="526"/>
      <c r="C36" s="210"/>
      <c r="D36" s="112" t="s">
        <v>70</v>
      </c>
      <c r="E36" s="29"/>
      <c r="F36" s="232">
        <v>73</v>
      </c>
    </row>
    <row r="37" spans="1:6" s="13" customFormat="1" ht="15.75" customHeight="1" thickBot="1" x14ac:dyDescent="0.3">
      <c r="A37" s="520"/>
      <c r="B37" s="520"/>
      <c r="C37" s="207"/>
      <c r="D37" s="107" t="s">
        <v>111</v>
      </c>
      <c r="E37" s="29"/>
      <c r="F37" s="238">
        <v>92.3</v>
      </c>
    </row>
    <row r="38" spans="1:6" s="13" customFormat="1" ht="15" customHeight="1" x14ac:dyDescent="0.25">
      <c r="A38" s="519" t="s">
        <v>11</v>
      </c>
      <c r="B38" s="519"/>
      <c r="C38" s="208"/>
      <c r="D38" s="108" t="s">
        <v>24</v>
      </c>
      <c r="E38" s="29"/>
      <c r="F38" s="239">
        <v>5000</v>
      </c>
    </row>
    <row r="39" spans="1:6" s="13" customFormat="1" ht="15.75" customHeight="1" thickBot="1" x14ac:dyDescent="0.3">
      <c r="A39" s="520"/>
      <c r="B39" s="520"/>
      <c r="C39" s="207"/>
      <c r="D39" s="107" t="s">
        <v>22</v>
      </c>
      <c r="E39" s="29"/>
      <c r="F39" s="238">
        <v>5000</v>
      </c>
    </row>
    <row r="40" spans="1:6" s="13" customFormat="1" ht="15" customHeight="1" x14ac:dyDescent="0.25">
      <c r="A40" s="519" t="s">
        <v>16</v>
      </c>
      <c r="B40" s="519"/>
      <c r="C40" s="208"/>
      <c r="D40" s="108" t="s">
        <v>24</v>
      </c>
      <c r="E40" s="29"/>
      <c r="F40" s="239">
        <v>9600</v>
      </c>
    </row>
    <row r="41" spans="1:6" s="13" customFormat="1" ht="15.75" customHeight="1" thickBot="1" x14ac:dyDescent="0.3">
      <c r="A41" s="520"/>
      <c r="B41" s="520"/>
      <c r="C41" s="207"/>
      <c r="D41" s="109" t="s">
        <v>23</v>
      </c>
      <c r="E41" s="29"/>
      <c r="F41" s="238">
        <v>9600</v>
      </c>
    </row>
    <row r="42" spans="1:6" s="13" customFormat="1" ht="15.75" customHeight="1" thickBot="1" x14ac:dyDescent="0.3">
      <c r="A42" s="25" t="s">
        <v>52</v>
      </c>
      <c r="B42" s="25" t="s">
        <v>53</v>
      </c>
      <c r="C42" s="209"/>
      <c r="D42" s="113"/>
      <c r="E42" s="30"/>
      <c r="F42" s="240"/>
    </row>
    <row r="43" spans="1:6" s="13" customFormat="1" ht="30" customHeight="1" x14ac:dyDescent="0.25">
      <c r="A43" s="519" t="s">
        <v>12</v>
      </c>
      <c r="B43" s="519" t="s">
        <v>142</v>
      </c>
      <c r="C43" s="208"/>
      <c r="D43" s="108" t="s">
        <v>205</v>
      </c>
      <c r="E43" s="29"/>
      <c r="F43" s="239" t="s">
        <v>368</v>
      </c>
    </row>
    <row r="44" spans="1:6" s="13" customFormat="1" ht="30" customHeight="1" x14ac:dyDescent="0.25">
      <c r="A44" s="526"/>
      <c r="B44" s="526"/>
      <c r="C44" s="210"/>
      <c r="D44" s="111" t="s">
        <v>518</v>
      </c>
      <c r="E44" s="29"/>
      <c r="F44" s="232">
        <v>2335</v>
      </c>
    </row>
    <row r="45" spans="1:6" s="13" customFormat="1" ht="30" customHeight="1" x14ac:dyDescent="0.25">
      <c r="A45" s="526"/>
      <c r="B45" s="526"/>
      <c r="C45" s="210"/>
      <c r="D45" s="111" t="s">
        <v>203</v>
      </c>
      <c r="E45" s="29"/>
      <c r="F45" s="241" t="s">
        <v>368</v>
      </c>
    </row>
    <row r="46" spans="1:6" s="13" customFormat="1" ht="30" customHeight="1" x14ac:dyDescent="0.25">
      <c r="A46" s="526"/>
      <c r="B46" s="526"/>
      <c r="C46" s="210"/>
      <c r="D46" s="111" t="s">
        <v>534</v>
      </c>
      <c r="E46" s="29"/>
      <c r="F46" s="232">
        <v>2470</v>
      </c>
    </row>
    <row r="47" spans="1:6" s="13" customFormat="1" ht="15.75" customHeight="1" x14ac:dyDescent="0.25">
      <c r="A47" s="526"/>
      <c r="B47" s="526"/>
      <c r="C47" s="210"/>
      <c r="D47" s="111" t="s">
        <v>112</v>
      </c>
      <c r="E47" s="29"/>
      <c r="F47" s="232" t="s">
        <v>308</v>
      </c>
    </row>
    <row r="48" spans="1:6" s="13" customFormat="1" ht="15.75" customHeight="1" x14ac:dyDescent="0.25">
      <c r="A48" s="526"/>
      <c r="B48" s="526"/>
      <c r="C48" s="210"/>
      <c r="D48" s="111" t="s">
        <v>113</v>
      </c>
      <c r="E48" s="29"/>
      <c r="F48" s="232" t="s">
        <v>340</v>
      </c>
    </row>
    <row r="49" spans="1:6" s="13" customFormat="1" ht="15.75" customHeight="1" x14ac:dyDescent="0.25">
      <c r="A49" s="526"/>
      <c r="B49" s="526"/>
      <c r="C49" s="210"/>
      <c r="D49" s="112" t="s">
        <v>114</v>
      </c>
      <c r="E49" s="29"/>
      <c r="F49" s="232" t="s">
        <v>380</v>
      </c>
    </row>
    <row r="50" spans="1:6" s="13" customFormat="1" ht="15.75" customHeight="1" thickBot="1" x14ac:dyDescent="0.3">
      <c r="A50" s="520"/>
      <c r="B50" s="520"/>
      <c r="C50" s="207"/>
      <c r="D50" s="107" t="s">
        <v>115</v>
      </c>
      <c r="E50" s="29"/>
      <c r="F50" s="238" t="s">
        <v>340</v>
      </c>
    </row>
    <row r="51" spans="1:6" s="13" customFormat="1" ht="15" customHeight="1" x14ac:dyDescent="0.25">
      <c r="A51" s="519" t="s">
        <v>10</v>
      </c>
      <c r="B51" s="519" t="s">
        <v>62</v>
      </c>
      <c r="C51" s="208"/>
      <c r="D51" s="108" t="s">
        <v>116</v>
      </c>
      <c r="E51" s="29"/>
      <c r="F51" s="239">
        <v>1</v>
      </c>
    </row>
    <row r="52" spans="1:6" s="13" customFormat="1" ht="15" customHeight="1" x14ac:dyDescent="0.25">
      <c r="A52" s="526"/>
      <c r="B52" s="526"/>
      <c r="C52" s="210"/>
      <c r="D52" s="111" t="s">
        <v>117</v>
      </c>
      <c r="E52" s="29"/>
      <c r="F52" s="232" t="s">
        <v>197</v>
      </c>
    </row>
    <row r="53" spans="1:6" s="13" customFormat="1" ht="15.75" customHeight="1" thickBot="1" x14ac:dyDescent="0.3">
      <c r="A53" s="520"/>
      <c r="B53" s="520"/>
      <c r="C53" s="210"/>
      <c r="D53" s="109" t="s">
        <v>71</v>
      </c>
      <c r="E53" s="29"/>
      <c r="F53" s="231" t="s">
        <v>533</v>
      </c>
    </row>
    <row r="54" spans="1:6" s="13" customFormat="1" ht="42.75" customHeight="1" thickBot="1" x14ac:dyDescent="0.3">
      <c r="A54" s="23" t="s">
        <v>185</v>
      </c>
      <c r="B54" s="23" t="s">
        <v>186</v>
      </c>
      <c r="C54" s="208"/>
      <c r="D54" s="91" t="s">
        <v>187</v>
      </c>
      <c r="E54" s="29"/>
      <c r="F54" s="239">
        <v>113</v>
      </c>
    </row>
    <row r="55" spans="1:6" s="13" customFormat="1" ht="15" customHeight="1" x14ac:dyDescent="0.25">
      <c r="A55" s="519" t="s">
        <v>26</v>
      </c>
      <c r="B55" s="519" t="s">
        <v>532</v>
      </c>
      <c r="C55" s="210"/>
      <c r="D55" s="112" t="s">
        <v>188</v>
      </c>
      <c r="E55" s="29"/>
      <c r="F55" s="239">
        <v>1</v>
      </c>
    </row>
    <row r="56" spans="1:6" s="13" customFormat="1" ht="15" customHeight="1" x14ac:dyDescent="0.25">
      <c r="A56" s="526"/>
      <c r="B56" s="526"/>
      <c r="C56" s="210"/>
      <c r="D56" s="111" t="s">
        <v>189</v>
      </c>
      <c r="E56" s="29"/>
      <c r="F56" s="232" t="s">
        <v>531</v>
      </c>
    </row>
    <row r="57" spans="1:6" s="13" customFormat="1" ht="15.75" customHeight="1" thickBot="1" x14ac:dyDescent="0.3">
      <c r="A57" s="520"/>
      <c r="B57" s="520"/>
      <c r="C57" s="207"/>
      <c r="D57" s="109" t="s">
        <v>190</v>
      </c>
      <c r="E57" s="29"/>
      <c r="F57" s="238">
        <v>240</v>
      </c>
    </row>
    <row r="58" spans="1:6" s="13" customFormat="1" ht="15.75" customHeight="1" thickBot="1" x14ac:dyDescent="0.3">
      <c r="A58" s="25" t="s">
        <v>44</v>
      </c>
      <c r="B58" s="25" t="s">
        <v>530</v>
      </c>
      <c r="C58" s="209"/>
      <c r="D58" s="113"/>
      <c r="E58" s="30"/>
      <c r="F58" s="242"/>
    </row>
    <row r="59" spans="1:6" s="13" customFormat="1" ht="31.5" customHeight="1" thickBot="1" x14ac:dyDescent="0.3">
      <c r="A59" s="25" t="s">
        <v>44</v>
      </c>
      <c r="B59" s="25" t="s">
        <v>63</v>
      </c>
      <c r="C59" s="209"/>
      <c r="D59" s="113"/>
      <c r="E59" s="30"/>
      <c r="F59" s="242"/>
    </row>
    <row r="60" spans="1:6" s="13" customFormat="1" ht="26.25" thickBot="1" x14ac:dyDescent="0.3">
      <c r="A60" s="25" t="s">
        <v>44</v>
      </c>
      <c r="B60" s="25" t="s">
        <v>64</v>
      </c>
      <c r="C60" s="209"/>
      <c r="D60" s="113"/>
      <c r="E60" s="30"/>
      <c r="F60" s="242"/>
    </row>
    <row r="61" spans="1:6" s="13" customFormat="1" ht="15.75" customHeight="1" thickBot="1" x14ac:dyDescent="0.3">
      <c r="A61" s="25" t="s">
        <v>50</v>
      </c>
      <c r="B61" s="25" t="s">
        <v>65</v>
      </c>
      <c r="C61" s="209"/>
      <c r="D61" s="113"/>
      <c r="E61" s="30"/>
      <c r="F61" s="242"/>
    </row>
    <row r="62" spans="1:6" s="13" customFormat="1" ht="15.75" customHeight="1" thickBot="1" x14ac:dyDescent="0.3">
      <c r="A62" s="25" t="s">
        <v>27</v>
      </c>
      <c r="B62" s="25"/>
      <c r="C62" s="209"/>
      <c r="D62" s="91" t="s">
        <v>77</v>
      </c>
      <c r="E62" s="29"/>
      <c r="F62" s="240" t="s">
        <v>346</v>
      </c>
    </row>
    <row r="63" spans="1:6" s="13" customFormat="1" ht="31.5" customHeight="1" thickBot="1" x14ac:dyDescent="0.3">
      <c r="A63" s="25" t="s">
        <v>51</v>
      </c>
      <c r="B63" s="25" t="s">
        <v>79</v>
      </c>
      <c r="C63" s="209"/>
      <c r="D63" s="113"/>
      <c r="E63" s="30"/>
      <c r="F63" s="240"/>
    </row>
    <row r="64" spans="1:6" s="13" customFormat="1" ht="42" customHeight="1" thickBot="1" x14ac:dyDescent="0.3">
      <c r="A64" s="25" t="s">
        <v>54</v>
      </c>
      <c r="B64" s="25" t="s">
        <v>80</v>
      </c>
      <c r="C64" s="209"/>
      <c r="D64" s="113"/>
      <c r="E64" s="30"/>
      <c r="F64" s="240"/>
    </row>
    <row r="65" spans="1:7" s="13" customFormat="1" ht="39" thickBot="1" x14ac:dyDescent="0.3">
      <c r="A65" s="25" t="s">
        <v>29</v>
      </c>
      <c r="B65" s="25" t="s">
        <v>529</v>
      </c>
      <c r="C65" s="209"/>
      <c r="D65" s="113"/>
      <c r="E65" s="30"/>
      <c r="F65" s="240"/>
    </row>
    <row r="66" spans="1:7" s="13" customFormat="1" ht="41.25" customHeight="1" thickBot="1" x14ac:dyDescent="0.3">
      <c r="A66" s="25" t="s">
        <v>31</v>
      </c>
      <c r="B66" s="25" t="s">
        <v>94</v>
      </c>
      <c r="C66" s="209"/>
      <c r="D66" s="91" t="s">
        <v>30</v>
      </c>
      <c r="E66" s="29"/>
      <c r="F66" s="240" t="s">
        <v>347</v>
      </c>
    </row>
    <row r="67" spans="1:7" s="13" customFormat="1" ht="26.25" thickBot="1" x14ac:dyDescent="0.3">
      <c r="A67" s="25" t="s">
        <v>55</v>
      </c>
      <c r="B67" s="25" t="s">
        <v>95</v>
      </c>
      <c r="C67" s="209"/>
      <c r="D67" s="113"/>
      <c r="E67" s="30"/>
      <c r="F67" s="240" t="s">
        <v>453</v>
      </c>
    </row>
    <row r="68" spans="1:7" s="13" customFormat="1" ht="26.25" thickBot="1" x14ac:dyDescent="0.3">
      <c r="A68" s="25" t="s">
        <v>32</v>
      </c>
      <c r="B68" s="25" t="s">
        <v>96</v>
      </c>
      <c r="C68" s="209"/>
      <c r="D68" s="91" t="s">
        <v>30</v>
      </c>
      <c r="E68" s="29"/>
      <c r="F68" s="240" t="s">
        <v>348</v>
      </c>
    </row>
    <row r="69" spans="1:7" s="13" customFormat="1" ht="39" thickBot="1" x14ac:dyDescent="0.3">
      <c r="A69" s="25" t="s">
        <v>56</v>
      </c>
      <c r="B69" s="25" t="s">
        <v>528</v>
      </c>
      <c r="C69" s="209"/>
      <c r="D69" s="113"/>
      <c r="E69" s="30"/>
      <c r="F69" s="240"/>
    </row>
    <row r="70" spans="1:7" s="13" customFormat="1" ht="30" customHeight="1" thickBot="1" x14ac:dyDescent="0.3">
      <c r="A70" s="25" t="s">
        <v>48</v>
      </c>
      <c r="B70" s="25" t="s">
        <v>527</v>
      </c>
      <c r="C70" s="209"/>
      <c r="D70" s="113"/>
      <c r="E70" s="30"/>
      <c r="F70" s="240"/>
    </row>
    <row r="71" spans="1:7" s="13" customFormat="1" ht="41.45" customHeight="1" thickBot="1" x14ac:dyDescent="0.3">
      <c r="A71" s="25" t="s">
        <v>49</v>
      </c>
      <c r="B71" s="25" t="s">
        <v>103</v>
      </c>
      <c r="C71" s="209"/>
      <c r="D71" s="113" t="s">
        <v>526</v>
      </c>
      <c r="E71" s="30"/>
      <c r="F71" s="240" t="s">
        <v>525</v>
      </c>
    </row>
    <row r="72" spans="1:7" s="13" customFormat="1" ht="26.25" thickBot="1" x14ac:dyDescent="0.3">
      <c r="A72" s="25" t="s">
        <v>46</v>
      </c>
      <c r="B72" s="25" t="s">
        <v>81</v>
      </c>
      <c r="C72" s="209"/>
      <c r="D72" s="113"/>
      <c r="E72" s="30"/>
      <c r="F72" s="240"/>
    </row>
    <row r="73" spans="1:7" ht="13.5" thickBot="1" x14ac:dyDescent="0.25"/>
    <row r="74" spans="1:7" s="16" customFormat="1" ht="18" customHeight="1" thickBot="1" x14ac:dyDescent="0.3">
      <c r="A74" s="152" t="s">
        <v>607</v>
      </c>
      <c r="B74" s="117"/>
      <c r="C74" s="117"/>
      <c r="D74" s="117"/>
      <c r="E74" s="206"/>
      <c r="F74" s="117"/>
      <c r="G74" s="117"/>
    </row>
    <row r="75" spans="1:7" s="3" customFormat="1" ht="25.5" customHeight="1" x14ac:dyDescent="0.25">
      <c r="A75" s="19" t="s">
        <v>33</v>
      </c>
      <c r="B75" s="19" t="s">
        <v>7</v>
      </c>
      <c r="C75" s="614" t="s">
        <v>604</v>
      </c>
      <c r="D75" s="636"/>
      <c r="E75" s="34"/>
      <c r="F75" s="243" t="s">
        <v>511</v>
      </c>
      <c r="G75" s="19" t="s">
        <v>509</v>
      </c>
    </row>
    <row r="76" spans="1:7" s="13" customFormat="1" ht="42.75" customHeight="1" thickBot="1" x14ac:dyDescent="0.3">
      <c r="A76" s="18" t="s">
        <v>83</v>
      </c>
      <c r="B76" s="18" t="s">
        <v>146</v>
      </c>
      <c r="C76" s="637"/>
      <c r="D76" s="638"/>
      <c r="E76" s="30"/>
      <c r="F76" s="238"/>
      <c r="G76" s="125">
        <v>-1088.78</v>
      </c>
    </row>
    <row r="77" spans="1:7" s="13" customFormat="1" ht="27.75" customHeight="1" thickBot="1" x14ac:dyDescent="0.3">
      <c r="A77" s="25" t="s">
        <v>34</v>
      </c>
      <c r="B77" s="25" t="s">
        <v>522</v>
      </c>
      <c r="C77" s="543" t="s">
        <v>30</v>
      </c>
      <c r="D77" s="635"/>
      <c r="E77" s="29"/>
      <c r="F77" s="240" t="s">
        <v>349</v>
      </c>
      <c r="G77" s="139">
        <v>573.5</v>
      </c>
    </row>
    <row r="78" spans="1:7" s="13" customFormat="1" ht="39" thickBot="1" x14ac:dyDescent="0.3">
      <c r="A78" s="25" t="s">
        <v>35</v>
      </c>
      <c r="B78" s="25" t="s">
        <v>97</v>
      </c>
      <c r="C78" s="531"/>
      <c r="D78" s="634"/>
      <c r="E78" s="30"/>
      <c r="F78" s="240"/>
      <c r="G78" s="139">
        <v>281.36</v>
      </c>
    </row>
    <row r="79" spans="1:7" s="13" customFormat="1" ht="39" thickBot="1" x14ac:dyDescent="0.3">
      <c r="A79" s="25" t="s">
        <v>36</v>
      </c>
      <c r="B79" s="25" t="s">
        <v>521</v>
      </c>
      <c r="C79" s="543" t="s">
        <v>99</v>
      </c>
      <c r="D79" s="635"/>
      <c r="E79" s="29"/>
      <c r="F79" s="240" t="s">
        <v>384</v>
      </c>
      <c r="G79" s="139">
        <v>312.62</v>
      </c>
    </row>
    <row r="80" spans="1:7" s="13" customFormat="1" ht="53.25" customHeight="1" x14ac:dyDescent="0.25">
      <c r="A80" s="519" t="s">
        <v>60</v>
      </c>
      <c r="B80" s="519" t="s">
        <v>520</v>
      </c>
      <c r="C80" s="521" t="s">
        <v>203</v>
      </c>
      <c r="D80" s="650"/>
      <c r="E80" s="29"/>
      <c r="F80" s="239" t="s">
        <v>368</v>
      </c>
      <c r="G80" s="647">
        <v>1170.71</v>
      </c>
    </row>
    <row r="81" spans="1:7" s="13" customFormat="1" ht="27.75" customHeight="1" x14ac:dyDescent="0.25">
      <c r="A81" s="526"/>
      <c r="B81" s="526"/>
      <c r="C81" s="527" t="s">
        <v>517</v>
      </c>
      <c r="D81" s="639"/>
      <c r="E81" s="29"/>
      <c r="F81" s="232">
        <v>2470</v>
      </c>
      <c r="G81" s="649"/>
    </row>
    <row r="82" spans="1:7" s="13" customFormat="1" ht="15" customHeight="1" x14ac:dyDescent="0.25">
      <c r="A82" s="526"/>
      <c r="B82" s="526"/>
      <c r="C82" s="527" t="s">
        <v>114</v>
      </c>
      <c r="D82" s="639"/>
      <c r="E82" s="29"/>
      <c r="F82" s="232" t="s">
        <v>352</v>
      </c>
      <c r="G82" s="649"/>
    </row>
    <row r="83" spans="1:7" s="13" customFormat="1" ht="15.75" customHeight="1" thickBot="1" x14ac:dyDescent="0.3">
      <c r="A83" s="520"/>
      <c r="B83" s="520"/>
      <c r="C83" s="523" t="s">
        <v>115</v>
      </c>
      <c r="D83" s="640"/>
      <c r="E83" s="29"/>
      <c r="F83" s="238" t="s">
        <v>353</v>
      </c>
      <c r="G83" s="648"/>
    </row>
    <row r="84" spans="1:7" s="13" customFormat="1" ht="51.75" customHeight="1" x14ac:dyDescent="0.25">
      <c r="A84" s="519" t="s">
        <v>61</v>
      </c>
      <c r="B84" s="519" t="s">
        <v>519</v>
      </c>
      <c r="C84" s="521" t="s">
        <v>205</v>
      </c>
      <c r="D84" s="650"/>
      <c r="E84" s="29"/>
      <c r="F84" s="239" t="s">
        <v>368</v>
      </c>
      <c r="G84" s="647">
        <v>1642.87</v>
      </c>
    </row>
    <row r="85" spans="1:7" s="13" customFormat="1" ht="29.25" customHeight="1" x14ac:dyDescent="0.25">
      <c r="A85" s="526"/>
      <c r="B85" s="526"/>
      <c r="C85" s="527" t="s">
        <v>518</v>
      </c>
      <c r="D85" s="639"/>
      <c r="E85" s="29"/>
      <c r="F85" s="241">
        <v>2680</v>
      </c>
      <c r="G85" s="649"/>
    </row>
    <row r="86" spans="1:7" s="13" customFormat="1" ht="52.5" customHeight="1" x14ac:dyDescent="0.25">
      <c r="A86" s="526"/>
      <c r="B86" s="526"/>
      <c r="C86" s="527" t="s">
        <v>203</v>
      </c>
      <c r="D86" s="639"/>
      <c r="E86" s="29"/>
      <c r="F86" s="241" t="s">
        <v>368</v>
      </c>
      <c r="G86" s="649"/>
    </row>
    <row r="87" spans="1:7" s="13" customFormat="1" ht="29.25" customHeight="1" x14ac:dyDescent="0.25">
      <c r="A87" s="526"/>
      <c r="B87" s="526"/>
      <c r="C87" s="527" t="s">
        <v>517</v>
      </c>
      <c r="D87" s="639"/>
      <c r="E87" s="29"/>
      <c r="F87" s="232">
        <v>2470</v>
      </c>
      <c r="G87" s="649"/>
    </row>
    <row r="88" spans="1:7" s="13" customFormat="1" ht="15" customHeight="1" x14ac:dyDescent="0.25">
      <c r="A88" s="526"/>
      <c r="B88" s="526"/>
      <c r="C88" s="527" t="s">
        <v>112</v>
      </c>
      <c r="D88" s="639"/>
      <c r="E88" s="29"/>
      <c r="F88" s="232" t="s">
        <v>308</v>
      </c>
      <c r="G88" s="649"/>
    </row>
    <row r="89" spans="1:7" s="13" customFormat="1" ht="15" customHeight="1" x14ac:dyDescent="0.25">
      <c r="A89" s="526"/>
      <c r="B89" s="526"/>
      <c r="C89" s="527" t="s">
        <v>113</v>
      </c>
      <c r="D89" s="639"/>
      <c r="E89" s="29"/>
      <c r="F89" s="241" t="s">
        <v>356</v>
      </c>
      <c r="G89" s="649"/>
    </row>
    <row r="90" spans="1:7" s="13" customFormat="1" ht="15" customHeight="1" x14ac:dyDescent="0.25">
      <c r="A90" s="526"/>
      <c r="B90" s="526"/>
      <c r="C90" s="527" t="s">
        <v>114</v>
      </c>
      <c r="D90" s="639"/>
      <c r="E90" s="29"/>
      <c r="F90" s="241" t="s">
        <v>380</v>
      </c>
      <c r="G90" s="649"/>
    </row>
    <row r="91" spans="1:7" s="13" customFormat="1" ht="15.75" customHeight="1" thickBot="1" x14ac:dyDescent="0.3">
      <c r="A91" s="520"/>
      <c r="B91" s="520"/>
      <c r="C91" s="523" t="s">
        <v>115</v>
      </c>
      <c r="D91" s="640"/>
      <c r="E91" s="29"/>
      <c r="F91" s="238" t="s">
        <v>356</v>
      </c>
      <c r="G91" s="648"/>
    </row>
    <row r="92" spans="1:7" s="13" customFormat="1" ht="131.25" customHeight="1" thickBot="1" x14ac:dyDescent="0.3">
      <c r="A92" s="17" t="s">
        <v>86</v>
      </c>
      <c r="B92" s="17" t="s">
        <v>143</v>
      </c>
      <c r="C92" s="543" t="s">
        <v>104</v>
      </c>
      <c r="D92" s="635"/>
      <c r="E92" s="29"/>
      <c r="F92" s="239" t="s">
        <v>357</v>
      </c>
      <c r="G92" s="139">
        <v>922.77</v>
      </c>
    </row>
    <row r="93" spans="1:7" ht="50.65" customHeight="1" x14ac:dyDescent="0.2">
      <c r="A93" s="519" t="s">
        <v>13</v>
      </c>
      <c r="B93" s="519" t="s">
        <v>98</v>
      </c>
      <c r="C93" s="521" t="s">
        <v>30</v>
      </c>
      <c r="D93" s="650"/>
      <c r="E93" s="29"/>
      <c r="F93" s="239" t="s">
        <v>358</v>
      </c>
      <c r="G93" s="647">
        <v>11643.48</v>
      </c>
    </row>
    <row r="94" spans="1:7" ht="18" customHeight="1" thickBot="1" x14ac:dyDescent="0.25">
      <c r="A94" s="520"/>
      <c r="B94" s="520"/>
      <c r="C94" s="523" t="s">
        <v>109</v>
      </c>
      <c r="D94" s="640"/>
      <c r="E94" s="29"/>
      <c r="F94" s="238" t="s">
        <v>359</v>
      </c>
      <c r="G94" s="648"/>
    </row>
    <row r="95" spans="1:7" ht="64.5" thickBot="1" x14ac:dyDescent="0.25">
      <c r="A95" s="25" t="s">
        <v>37</v>
      </c>
      <c r="B95" s="25" t="s">
        <v>135</v>
      </c>
      <c r="C95" s="531" t="s">
        <v>516</v>
      </c>
      <c r="D95" s="634"/>
      <c r="E95" s="30"/>
      <c r="F95" s="238" t="s">
        <v>375</v>
      </c>
      <c r="G95" s="125">
        <v>539</v>
      </c>
    </row>
    <row r="96" spans="1:7" ht="26.25" thickBot="1" x14ac:dyDescent="0.25">
      <c r="A96" s="25" t="s">
        <v>38</v>
      </c>
      <c r="B96" s="25" t="s">
        <v>87</v>
      </c>
      <c r="C96" s="531"/>
      <c r="D96" s="634"/>
      <c r="E96" s="30"/>
      <c r="F96" s="240"/>
      <c r="G96" s="139">
        <v>713.64</v>
      </c>
    </row>
    <row r="97" spans="1:8" ht="26.25" thickBot="1" x14ac:dyDescent="0.25">
      <c r="A97" s="25" t="s">
        <v>39</v>
      </c>
      <c r="B97" s="25" t="s">
        <v>106</v>
      </c>
      <c r="C97" s="543" t="s">
        <v>105</v>
      </c>
      <c r="D97" s="635"/>
      <c r="E97" s="29"/>
      <c r="F97" s="240" t="s">
        <v>207</v>
      </c>
      <c r="G97" s="139">
        <v>950.8</v>
      </c>
    </row>
    <row r="98" spans="1:8" ht="44.45" customHeight="1" thickBot="1" x14ac:dyDescent="0.25">
      <c r="A98" s="25" t="s">
        <v>90</v>
      </c>
      <c r="B98" s="25" t="s">
        <v>129</v>
      </c>
      <c r="C98" s="531" t="s">
        <v>515</v>
      </c>
      <c r="D98" s="634"/>
      <c r="E98" s="30"/>
      <c r="F98" s="240" t="s">
        <v>454</v>
      </c>
      <c r="G98" s="139">
        <v>425.67</v>
      </c>
    </row>
    <row r="99" spans="1:8" ht="43.5" customHeight="1" thickBot="1" x14ac:dyDescent="0.25">
      <c r="A99" s="25" t="s">
        <v>40</v>
      </c>
      <c r="B99" s="25" t="s">
        <v>137</v>
      </c>
      <c r="C99" s="543" t="s">
        <v>100</v>
      </c>
      <c r="D99" s="635"/>
      <c r="E99" s="29"/>
      <c r="F99" s="244" t="s">
        <v>360</v>
      </c>
      <c r="G99" s="140">
        <v>219.91</v>
      </c>
    </row>
    <row r="100" spans="1:8" ht="40.15" customHeight="1" thickBot="1" x14ac:dyDescent="0.25">
      <c r="A100" s="519" t="s">
        <v>14</v>
      </c>
      <c r="B100" s="519" t="s">
        <v>138</v>
      </c>
      <c r="C100" s="543" t="s">
        <v>139</v>
      </c>
      <c r="D100" s="635"/>
      <c r="E100" s="29"/>
      <c r="F100" s="651" t="s">
        <v>514</v>
      </c>
      <c r="G100" s="653">
        <v>13357.5</v>
      </c>
    </row>
    <row r="101" spans="1:8" ht="57" customHeight="1" thickBot="1" x14ac:dyDescent="0.25">
      <c r="A101" s="520"/>
      <c r="B101" s="520"/>
      <c r="C101" s="543" t="s">
        <v>274</v>
      </c>
      <c r="D101" s="635"/>
      <c r="E101" s="29"/>
      <c r="F101" s="652"/>
      <c r="G101" s="654"/>
    </row>
    <row r="102" spans="1:8" ht="68.25" customHeight="1" thickBot="1" x14ac:dyDescent="0.25">
      <c r="A102" s="25" t="s">
        <v>91</v>
      </c>
      <c r="B102" s="25" t="s">
        <v>144</v>
      </c>
      <c r="C102" s="543" t="s">
        <v>100</v>
      </c>
      <c r="D102" s="635"/>
      <c r="E102" s="29"/>
      <c r="F102" s="245" t="s">
        <v>361</v>
      </c>
      <c r="G102" s="140">
        <v>2124.7399999999998</v>
      </c>
    </row>
    <row r="103" spans="1:8" ht="51.75" thickBot="1" x14ac:dyDescent="0.25">
      <c r="A103" s="25" t="s">
        <v>92</v>
      </c>
      <c r="B103" s="25" t="s">
        <v>145</v>
      </c>
      <c r="C103" s="531"/>
      <c r="D103" s="634"/>
      <c r="E103" s="30"/>
      <c r="F103" s="240"/>
      <c r="G103" s="139">
        <v>-2180.79</v>
      </c>
    </row>
    <row r="104" spans="1:8" ht="13.5" thickBot="1" x14ac:dyDescent="0.25"/>
    <row r="105" spans="1:8" s="16" customFormat="1" ht="18.75" customHeight="1" thickBot="1" x14ac:dyDescent="0.3">
      <c r="A105" s="104" t="s">
        <v>608</v>
      </c>
      <c r="B105" s="117"/>
      <c r="C105" s="117"/>
      <c r="D105" s="117"/>
      <c r="E105" s="206"/>
      <c r="F105" s="117"/>
      <c r="G105" s="118"/>
    </row>
    <row r="106" spans="1:8" ht="26.25" customHeight="1" thickBot="1" x14ac:dyDescent="0.25">
      <c r="A106" s="135" t="s">
        <v>33</v>
      </c>
      <c r="B106" s="133" t="s">
        <v>7</v>
      </c>
      <c r="C106" s="655" t="s">
        <v>604</v>
      </c>
      <c r="D106" s="624"/>
      <c r="E106" s="34"/>
      <c r="F106" s="134" t="s">
        <v>511</v>
      </c>
      <c r="G106" s="45" t="s">
        <v>509</v>
      </c>
    </row>
    <row r="107" spans="1:8" ht="239.25" customHeight="1" thickBot="1" x14ac:dyDescent="0.25">
      <c r="A107" s="24" t="s">
        <v>85</v>
      </c>
      <c r="B107" s="229" t="s">
        <v>508</v>
      </c>
      <c r="C107" s="656" t="s">
        <v>104</v>
      </c>
      <c r="D107" s="657"/>
      <c r="E107" s="13"/>
      <c r="F107" s="240" t="s">
        <v>357</v>
      </c>
      <c r="G107" s="125">
        <v>6663.08</v>
      </c>
    </row>
    <row r="108" spans="1:8" ht="80.25" customHeight="1" thickBot="1" x14ac:dyDescent="0.25">
      <c r="A108" s="131" t="s">
        <v>20</v>
      </c>
      <c r="B108" s="228" t="s">
        <v>634</v>
      </c>
      <c r="C108" s="129"/>
      <c r="D108" s="129"/>
      <c r="E108" s="220"/>
      <c r="F108" s="246"/>
      <c r="G108" s="126">
        <v>1741</v>
      </c>
    </row>
    <row r="109" spans="1:8" ht="26.25" thickBot="1" x14ac:dyDescent="0.25">
      <c r="A109" s="15" t="s">
        <v>82</v>
      </c>
      <c r="B109" s="15" t="s">
        <v>130</v>
      </c>
      <c r="C109" s="637"/>
      <c r="D109" s="638"/>
      <c r="E109" s="30"/>
      <c r="F109" s="238"/>
      <c r="G109" s="125">
        <v>1071</v>
      </c>
    </row>
    <row r="110" spans="1:8" ht="39" thickBot="1" x14ac:dyDescent="0.25">
      <c r="A110" s="25" t="s">
        <v>272</v>
      </c>
      <c r="B110" s="25" t="s">
        <v>506</v>
      </c>
      <c r="C110" s="91"/>
      <c r="D110" s="144"/>
      <c r="E110" s="29"/>
      <c r="F110" s="240"/>
      <c r="G110" s="123"/>
      <c r="H110" s="122"/>
    </row>
  </sheetData>
  <dataConsolidate/>
  <mergeCells count="65">
    <mergeCell ref="F100:F101"/>
    <mergeCell ref="C103:D103"/>
    <mergeCell ref="G100:G101"/>
    <mergeCell ref="C106:D106"/>
    <mergeCell ref="C107:D107"/>
    <mergeCell ref="C109:D109"/>
    <mergeCell ref="A100:A101"/>
    <mergeCell ref="B100:B101"/>
    <mergeCell ref="C101:D101"/>
    <mergeCell ref="A38:A39"/>
    <mergeCell ref="B38:B39"/>
    <mergeCell ref="A40:A41"/>
    <mergeCell ref="B40:B41"/>
    <mergeCell ref="A55:A57"/>
    <mergeCell ref="B55:B57"/>
    <mergeCell ref="A80:A83"/>
    <mergeCell ref="B80:B83"/>
    <mergeCell ref="C80:D80"/>
    <mergeCell ref="A84:A91"/>
    <mergeCell ref="B84:B91"/>
    <mergeCell ref="C84:D84"/>
    <mergeCell ref="B30:B31"/>
    <mergeCell ref="A33:A37"/>
    <mergeCell ref="B33:B37"/>
    <mergeCell ref="A30:A31"/>
    <mergeCell ref="A51:A53"/>
    <mergeCell ref="B51:B53"/>
    <mergeCell ref="A43:A50"/>
    <mergeCell ref="B43:B50"/>
    <mergeCell ref="A93:A94"/>
    <mergeCell ref="B93:B94"/>
    <mergeCell ref="C93:D93"/>
    <mergeCell ref="C85:D85"/>
    <mergeCell ref="C86:D86"/>
    <mergeCell ref="C87:D87"/>
    <mergeCell ref="C88:D88"/>
    <mergeCell ref="C89:D89"/>
    <mergeCell ref="C94:D94"/>
    <mergeCell ref="G93:G94"/>
    <mergeCell ref="G80:G83"/>
    <mergeCell ref="C81:D81"/>
    <mergeCell ref="C82:D82"/>
    <mergeCell ref="C83:D83"/>
    <mergeCell ref="G84:G91"/>
    <mergeCell ref="C28:D28"/>
    <mergeCell ref="A3:D3"/>
    <mergeCell ref="A4:D4"/>
    <mergeCell ref="B8:D8"/>
    <mergeCell ref="B9:D9"/>
    <mergeCell ref="A5:E5"/>
    <mergeCell ref="C98:D98"/>
    <mergeCell ref="C99:D99"/>
    <mergeCell ref="C100:D100"/>
    <mergeCell ref="C102:D102"/>
    <mergeCell ref="C75:D75"/>
    <mergeCell ref="C76:D76"/>
    <mergeCell ref="C77:D77"/>
    <mergeCell ref="C96:D96"/>
    <mergeCell ref="C97:D97"/>
    <mergeCell ref="C95:D95"/>
    <mergeCell ref="C92:D92"/>
    <mergeCell ref="C90:D90"/>
    <mergeCell ref="C91:D91"/>
    <mergeCell ref="C78:D78"/>
    <mergeCell ref="C79:D79"/>
  </mergeCells>
  <conditionalFormatting sqref="F8:F19 F71 C101 H110">
    <cfRule type="expression" dxfId="158" priority="7">
      <formula>$F$2="NO"</formula>
    </cfRule>
  </conditionalFormatting>
  <conditionalFormatting sqref="F23:F24 D29:F70 D71 D72:F72 C76:G97 C98 F98:G98 C99:G100 C102:G103 C107:F107 F108 C109:G110">
    <cfRule type="expression" dxfId="157" priority="5">
      <formula>$F$2="NO"</formula>
    </cfRule>
  </conditionalFormatting>
  <conditionalFormatting sqref="F108">
    <cfRule type="expression" dxfId="156" priority="4">
      <formula>$E$2="NO"</formula>
    </cfRule>
  </conditionalFormatting>
  <conditionalFormatting sqref="G107:G108">
    <cfRule type="expression" dxfId="155" priority="3">
      <formula>$F$2="NO"</formula>
    </cfRule>
  </conditionalFormatting>
  <dataValidations count="3">
    <dataValidation type="decimal" allowBlank="1" showInputMessage="1" showErrorMessage="1" error="Invalid Entry - Bidder must enter a value that is greater than $0" sqref="F23" xr:uid="{091FCC4B-FED0-4310-A853-F4674893F65A}">
      <formula1>0</formula1>
      <formula2>9E+21</formula2>
    </dataValidation>
    <dataValidation type="decimal" allowBlank="1" showInputMessage="1" showErrorMessage="1" error="The Additional Options NYS Discount entered must be greater than 0%, or less than or equal to 100%." sqref="F24" xr:uid="{892E0BC7-C13F-48E1-8F1B-ABA3A0766F2E}">
      <formula1>0.01</formula1>
      <formula2>100</formula2>
    </dataValidation>
    <dataValidation type="decimal" operator="greaterThanOrEqual" allowBlank="1" showInputMessage="1" showErrorMessage="1" error="The Pickup Allowance cannot be a negative number." sqref="F18" xr:uid="{00000000-0002-0000-0A00-000001000000}">
      <formula1>0</formula1>
    </dataValidation>
  </dataValidations>
  <pageMargins left="0.25" right="0.25" top="0.75" bottom="0.25" header="0.3" footer="0.3"/>
  <pageSetup scale="5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C63E-32A6-44ED-B8C1-55EC6C76B6F1}">
  <sheetPr>
    <tabColor rgb="FFCC66FF"/>
    <pageSetUpPr autoPageBreaks="0" fitToPage="1"/>
  </sheetPr>
  <dimension ref="A1:H111"/>
  <sheetViews>
    <sheetView showGridLines="0" topLeftCell="A4" zoomScaleNormal="100" workbookViewId="0">
      <selection activeCell="B9" sqref="B9"/>
    </sheetView>
  </sheetViews>
  <sheetFormatPr defaultColWidth="9.140625" defaultRowHeight="12.75" x14ac:dyDescent="0.2"/>
  <cols>
    <col min="1" max="1" width="19.140625" style="2" customWidth="1"/>
    <col min="2" max="2" width="75.28515625" style="2" customWidth="1"/>
    <col min="3" max="3" width="6.85546875" style="2" customWidth="1"/>
    <col min="4" max="4" width="34.85546875" style="2" customWidth="1"/>
    <col min="5" max="5" width="3.85546875" style="5" customWidth="1"/>
    <col min="6" max="9" width="20.7109375" style="2" customWidth="1"/>
    <col min="10" max="16384" width="9.140625" style="2"/>
  </cols>
  <sheetData>
    <row r="1" spans="1:7" ht="18" customHeight="1" x14ac:dyDescent="0.2">
      <c r="A1" s="86" t="s">
        <v>614</v>
      </c>
      <c r="E1" s="2"/>
    </row>
    <row r="2" spans="1:7" s="20" customFormat="1" ht="18" customHeight="1" thickBot="1" x14ac:dyDescent="0.3">
      <c r="A2" s="20" t="str">
        <f>'Attachment 1 - Summary'!B2</f>
        <v>PC69863 Nesco Bus and Truck Sales, Inc.</v>
      </c>
      <c r="B2" s="21"/>
      <c r="C2" s="21"/>
      <c r="D2" s="21"/>
      <c r="E2" s="21"/>
      <c r="F2" s="21"/>
      <c r="G2" s="21"/>
    </row>
    <row r="3" spans="1:7" ht="23.25" x14ac:dyDescent="0.2">
      <c r="A3" s="641" t="s">
        <v>569</v>
      </c>
      <c r="B3" s="642"/>
      <c r="C3" s="642"/>
      <c r="D3" s="643"/>
      <c r="E3" s="197"/>
      <c r="F3" s="8"/>
      <c r="G3" s="8"/>
    </row>
    <row r="4" spans="1:7" ht="51" customHeight="1" thickBot="1" x14ac:dyDescent="0.25">
      <c r="A4" s="592" t="s">
        <v>568</v>
      </c>
      <c r="B4" s="593"/>
      <c r="C4" s="593"/>
      <c r="D4" s="594"/>
      <c r="E4" s="198"/>
      <c r="F4" s="8"/>
      <c r="G4" s="8"/>
    </row>
    <row r="5" spans="1:7" s="4" customFormat="1" ht="31.5" customHeight="1" thickBot="1" x14ac:dyDescent="0.3">
      <c r="A5" s="199"/>
      <c r="B5" s="199"/>
      <c r="C5" s="199"/>
      <c r="D5" s="199"/>
      <c r="E5" s="64"/>
      <c r="F5" s="191"/>
      <c r="G5" s="191"/>
    </row>
    <row r="6" spans="1:7" s="7" customFormat="1" ht="16.5" customHeight="1" thickBot="1" x14ac:dyDescent="0.25">
      <c r="A6" s="509" t="s">
        <v>151</v>
      </c>
      <c r="B6" s="510"/>
      <c r="C6" s="510"/>
      <c r="D6" s="511"/>
      <c r="E6" s="200"/>
      <c r="F6" s="85" t="s">
        <v>615</v>
      </c>
    </row>
    <row r="7" spans="1:7" s="4" customFormat="1" ht="23.25" customHeight="1" thickBot="1" x14ac:dyDescent="0.3">
      <c r="A7" s="175" t="s">
        <v>6</v>
      </c>
      <c r="B7" s="174" t="s">
        <v>165</v>
      </c>
      <c r="C7" s="173"/>
      <c r="D7" s="201"/>
      <c r="E7" s="34"/>
      <c r="F7" s="85" t="s">
        <v>184</v>
      </c>
    </row>
    <row r="8" spans="1:7" ht="103.5" thickTop="1" thickBot="1" x14ac:dyDescent="0.25">
      <c r="A8" s="166" t="s">
        <v>185</v>
      </c>
      <c r="B8" s="101" t="s">
        <v>612</v>
      </c>
      <c r="C8" s="102"/>
      <c r="D8" s="103"/>
      <c r="E8" s="13"/>
      <c r="F8" s="58" t="s">
        <v>566</v>
      </c>
    </row>
    <row r="9" spans="1:7" s="7" customFormat="1" ht="27" customHeight="1" thickTop="1" thickBot="1" x14ac:dyDescent="0.25">
      <c r="A9" s="166" t="s">
        <v>136</v>
      </c>
      <c r="B9" s="101" t="s">
        <v>191</v>
      </c>
      <c r="C9" s="102"/>
      <c r="D9" s="103"/>
      <c r="E9" s="13"/>
      <c r="F9" s="58" t="s">
        <v>616</v>
      </c>
    </row>
    <row r="10" spans="1:7" ht="12.75" customHeight="1" thickTop="1" x14ac:dyDescent="0.2">
      <c r="A10" s="184" t="s">
        <v>563</v>
      </c>
      <c r="B10" s="98" t="s">
        <v>617</v>
      </c>
      <c r="C10" s="99"/>
      <c r="D10" s="100"/>
      <c r="E10" s="13"/>
      <c r="F10" s="84">
        <v>2024</v>
      </c>
    </row>
    <row r="11" spans="1:7" ht="12.75" customHeight="1" x14ac:dyDescent="0.2">
      <c r="A11" s="162" t="s">
        <v>0</v>
      </c>
      <c r="B11" s="92" t="s">
        <v>618</v>
      </c>
      <c r="C11" s="93"/>
      <c r="D11" s="94"/>
      <c r="E11" s="13"/>
      <c r="F11" s="56" t="s">
        <v>304</v>
      </c>
    </row>
    <row r="12" spans="1:7" x14ac:dyDescent="0.2">
      <c r="A12" s="162" t="s">
        <v>1</v>
      </c>
      <c r="B12" s="92" t="s">
        <v>619</v>
      </c>
      <c r="C12" s="93"/>
      <c r="D12" s="94"/>
      <c r="E12" s="13"/>
      <c r="F12" s="56">
        <v>4500</v>
      </c>
    </row>
    <row r="13" spans="1:7" ht="12.75" customHeight="1" thickBot="1" x14ac:dyDescent="0.25">
      <c r="A13" s="160" t="s">
        <v>2</v>
      </c>
      <c r="B13" s="95" t="s">
        <v>620</v>
      </c>
      <c r="C13" s="96"/>
      <c r="D13" s="97"/>
      <c r="E13" s="13"/>
      <c r="F13" s="59" t="s">
        <v>386</v>
      </c>
    </row>
    <row r="14" spans="1:7" ht="12.75" customHeight="1" thickTop="1" x14ac:dyDescent="0.2">
      <c r="A14" s="184" t="s">
        <v>556</v>
      </c>
      <c r="B14" s="183" t="s">
        <v>621</v>
      </c>
      <c r="C14" s="182"/>
      <c r="D14" s="202"/>
      <c r="E14" s="13"/>
      <c r="F14" s="84">
        <v>2024</v>
      </c>
    </row>
    <row r="15" spans="1:7" x14ac:dyDescent="0.2">
      <c r="A15" s="162" t="s">
        <v>3</v>
      </c>
      <c r="B15" s="92" t="s">
        <v>622</v>
      </c>
      <c r="C15" s="93"/>
      <c r="D15" s="94"/>
      <c r="E15" s="13"/>
      <c r="F15" s="56" t="s">
        <v>334</v>
      </c>
    </row>
    <row r="16" spans="1:7" x14ac:dyDescent="0.2">
      <c r="A16" s="162" t="s">
        <v>4</v>
      </c>
      <c r="B16" s="92" t="s">
        <v>623</v>
      </c>
      <c r="C16" s="93"/>
      <c r="D16" s="94"/>
      <c r="E16" s="13"/>
      <c r="F16" s="56" t="s">
        <v>335</v>
      </c>
    </row>
    <row r="17" spans="1:8" ht="13.5" customHeight="1" thickBot="1" x14ac:dyDescent="0.25">
      <c r="A17" s="179" t="s">
        <v>5</v>
      </c>
      <c r="B17" s="95" t="s">
        <v>624</v>
      </c>
      <c r="C17" s="96"/>
      <c r="D17" s="97"/>
      <c r="E17" s="13"/>
      <c r="F17" s="60" t="s">
        <v>387</v>
      </c>
    </row>
    <row r="18" spans="1:8" ht="29.25" customHeight="1" thickTop="1" x14ac:dyDescent="0.2">
      <c r="A18" s="162" t="s">
        <v>101</v>
      </c>
      <c r="B18" s="98" t="s">
        <v>625</v>
      </c>
      <c r="C18" s="99"/>
      <c r="D18" s="100"/>
      <c r="E18" s="13"/>
      <c r="F18" s="61">
        <v>100</v>
      </c>
    </row>
    <row r="19" spans="1:8" ht="42.75" customHeight="1" thickBot="1" x14ac:dyDescent="0.25">
      <c r="A19" s="179" t="s">
        <v>43</v>
      </c>
      <c r="B19" s="95" t="s">
        <v>626</v>
      </c>
      <c r="C19" s="96"/>
      <c r="D19" s="97"/>
      <c r="E19" s="13"/>
      <c r="F19" s="60" t="s">
        <v>549</v>
      </c>
    </row>
    <row r="20" spans="1:8" s="9" customFormat="1" ht="14.25" thickTop="1" thickBot="1" x14ac:dyDescent="0.25">
      <c r="E20" s="10"/>
      <c r="F20" s="10"/>
      <c r="G20" s="10"/>
      <c r="H20" s="10"/>
    </row>
    <row r="21" spans="1:8" s="11" customFormat="1" ht="16.5" customHeight="1" thickBot="1" x14ac:dyDescent="0.25">
      <c r="A21" s="509" t="s">
        <v>150</v>
      </c>
      <c r="B21" s="510"/>
      <c r="C21" s="510"/>
      <c r="D21" s="511"/>
      <c r="E21" s="200"/>
      <c r="F21" s="675" t="s">
        <v>184</v>
      </c>
    </row>
    <row r="22" spans="1:8" s="4" customFormat="1" ht="23.25" customHeight="1" thickBot="1" x14ac:dyDescent="0.3">
      <c r="A22" s="37" t="s">
        <v>6</v>
      </c>
      <c r="B22" s="174" t="s">
        <v>165</v>
      </c>
      <c r="C22" s="173"/>
      <c r="D22" s="201"/>
      <c r="E22" s="34"/>
      <c r="F22" s="677"/>
    </row>
    <row r="23" spans="1:8" ht="57" customHeight="1" thickTop="1" thickBot="1" x14ac:dyDescent="0.25">
      <c r="A23" s="203" t="s">
        <v>42</v>
      </c>
      <c r="B23" s="599" t="s">
        <v>161</v>
      </c>
      <c r="C23" s="600"/>
      <c r="D23" s="601"/>
      <c r="E23" s="13"/>
      <c r="F23" s="204">
        <v>297998</v>
      </c>
    </row>
    <row r="24" spans="1:8" ht="57" customHeight="1" thickBot="1" x14ac:dyDescent="0.25">
      <c r="A24" s="43" t="s">
        <v>41</v>
      </c>
      <c r="B24" s="114" t="s">
        <v>163</v>
      </c>
      <c r="C24" s="115"/>
      <c r="D24" s="116"/>
      <c r="E24" s="1"/>
      <c r="F24" s="62">
        <v>20</v>
      </c>
    </row>
    <row r="25" spans="1:8" x14ac:dyDescent="0.2">
      <c r="A25" s="156"/>
      <c r="B25" s="1"/>
      <c r="C25" s="1"/>
      <c r="D25" s="1"/>
      <c r="E25" s="205"/>
    </row>
    <row r="26" spans="1:8" ht="13.5" thickBot="1" x14ac:dyDescent="0.25">
      <c r="A26" s="156"/>
      <c r="B26" s="1"/>
      <c r="C26" s="1"/>
      <c r="D26" s="1"/>
      <c r="E26" s="205"/>
    </row>
    <row r="27" spans="1:8" s="7" customFormat="1" ht="15.75" customHeight="1" thickBot="1" x14ac:dyDescent="0.25">
      <c r="A27" s="626" t="s">
        <v>164</v>
      </c>
      <c r="B27" s="627"/>
      <c r="C27" s="627"/>
      <c r="D27" s="627"/>
      <c r="E27" s="206"/>
      <c r="F27" s="675" t="s">
        <v>511</v>
      </c>
    </row>
    <row r="28" spans="1:8" s="3" customFormat="1" ht="26.25" customHeight="1" thickBot="1" x14ac:dyDescent="0.3">
      <c r="A28" s="53" t="s">
        <v>6</v>
      </c>
      <c r="B28" s="26" t="s">
        <v>7</v>
      </c>
      <c r="C28" s="539" t="s">
        <v>512</v>
      </c>
      <c r="D28" s="624"/>
      <c r="E28" s="34"/>
      <c r="F28" s="676"/>
    </row>
    <row r="29" spans="1:8" s="13" customFormat="1" ht="39" thickBot="1" x14ac:dyDescent="0.3">
      <c r="A29" s="24" t="s">
        <v>8</v>
      </c>
      <c r="B29" s="207" t="s">
        <v>131</v>
      </c>
      <c r="C29" s="543" t="s">
        <v>118</v>
      </c>
      <c r="D29" s="544"/>
      <c r="E29" s="29"/>
      <c r="F29" s="143">
        <v>14200</v>
      </c>
    </row>
    <row r="30" spans="1:8" s="13" customFormat="1" ht="15" customHeight="1" x14ac:dyDescent="0.25">
      <c r="A30" s="23" t="s">
        <v>21</v>
      </c>
      <c r="B30" s="208" t="s">
        <v>535</v>
      </c>
      <c r="C30" s="521" t="s">
        <v>67</v>
      </c>
      <c r="D30" s="522"/>
      <c r="E30" s="29"/>
      <c r="F30" s="55">
        <v>4</v>
      </c>
    </row>
    <row r="31" spans="1:8" s="13" customFormat="1" ht="15.75" customHeight="1" thickBot="1" x14ac:dyDescent="0.3">
      <c r="A31" s="24"/>
      <c r="B31" s="207"/>
      <c r="C31" s="523"/>
      <c r="D31" s="524" t="s">
        <v>68</v>
      </c>
      <c r="E31" s="29"/>
      <c r="F31" s="143">
        <v>24</v>
      </c>
    </row>
    <row r="32" spans="1:8" s="13" customFormat="1" ht="15.75" customHeight="1" thickBot="1" x14ac:dyDescent="0.3">
      <c r="A32" s="25" t="s">
        <v>123</v>
      </c>
      <c r="B32" s="209" t="s">
        <v>108</v>
      </c>
      <c r="C32" s="625"/>
      <c r="D32" s="619"/>
      <c r="E32" s="30"/>
      <c r="F32" s="54"/>
    </row>
    <row r="33" spans="1:6" s="13" customFormat="1" ht="15" customHeight="1" x14ac:dyDescent="0.25">
      <c r="A33" s="23" t="s">
        <v>59</v>
      </c>
      <c r="B33" s="208"/>
      <c r="C33" s="521" t="s">
        <v>58</v>
      </c>
      <c r="D33" s="522"/>
      <c r="E33" s="29"/>
      <c r="F33" s="55">
        <v>159</v>
      </c>
    </row>
    <row r="34" spans="1:6" s="13" customFormat="1" ht="15" customHeight="1" x14ac:dyDescent="0.25">
      <c r="A34" s="110"/>
      <c r="B34" s="210"/>
      <c r="C34" s="527" t="s">
        <v>57</v>
      </c>
      <c r="D34" s="528"/>
      <c r="E34" s="29"/>
      <c r="F34" s="56">
        <v>266.5</v>
      </c>
    </row>
    <row r="35" spans="1:6" s="13" customFormat="1" ht="15" customHeight="1" x14ac:dyDescent="0.25">
      <c r="A35" s="110"/>
      <c r="B35" s="210"/>
      <c r="C35" s="527" t="s">
        <v>69</v>
      </c>
      <c r="D35" s="528"/>
      <c r="E35" s="29"/>
      <c r="F35" s="56">
        <v>90</v>
      </c>
    </row>
    <row r="36" spans="1:6" s="13" customFormat="1" ht="15" customHeight="1" x14ac:dyDescent="0.25">
      <c r="A36" s="110"/>
      <c r="B36" s="210"/>
      <c r="C36" s="527" t="s">
        <v>70</v>
      </c>
      <c r="D36" s="528"/>
      <c r="E36" s="29"/>
      <c r="F36" s="56">
        <v>73</v>
      </c>
    </row>
    <row r="37" spans="1:6" s="13" customFormat="1" ht="15.75" customHeight="1" thickBot="1" x14ac:dyDescent="0.3">
      <c r="A37" s="24"/>
      <c r="B37" s="207"/>
      <c r="C37" s="523" t="s">
        <v>111</v>
      </c>
      <c r="D37" s="524"/>
      <c r="E37" s="29"/>
      <c r="F37" s="143">
        <v>94.1</v>
      </c>
    </row>
    <row r="38" spans="1:6" s="13" customFormat="1" ht="15" customHeight="1" x14ac:dyDescent="0.25">
      <c r="A38" s="23" t="s">
        <v>11</v>
      </c>
      <c r="B38" s="208"/>
      <c r="C38" s="618" t="s">
        <v>24</v>
      </c>
      <c r="D38" s="619"/>
      <c r="E38" s="29"/>
      <c r="F38" s="55">
        <v>4600</v>
      </c>
    </row>
    <row r="39" spans="1:6" s="13" customFormat="1" ht="15.75" customHeight="1" thickBot="1" x14ac:dyDescent="0.3">
      <c r="A39" s="24"/>
      <c r="B39" s="207"/>
      <c r="C39" s="523" t="s">
        <v>22</v>
      </c>
      <c r="D39" s="524"/>
      <c r="E39" s="29"/>
      <c r="F39" s="143">
        <v>4600</v>
      </c>
    </row>
    <row r="40" spans="1:6" s="13" customFormat="1" ht="15" customHeight="1" x14ac:dyDescent="0.25">
      <c r="A40" s="23" t="s">
        <v>16</v>
      </c>
      <c r="B40" s="208"/>
      <c r="C40" s="521" t="s">
        <v>24</v>
      </c>
      <c r="D40" s="522"/>
      <c r="E40" s="29"/>
      <c r="F40" s="55">
        <v>9600</v>
      </c>
    </row>
    <row r="41" spans="1:6" s="13" customFormat="1" ht="15.75" customHeight="1" thickBot="1" x14ac:dyDescent="0.3">
      <c r="A41" s="24"/>
      <c r="B41" s="207"/>
      <c r="C41" s="523" t="s">
        <v>23</v>
      </c>
      <c r="D41" s="524"/>
      <c r="E41" s="29"/>
      <c r="F41" s="143">
        <v>9600</v>
      </c>
    </row>
    <row r="42" spans="1:6" s="13" customFormat="1" ht="15.75" customHeight="1" thickBot="1" x14ac:dyDescent="0.3">
      <c r="A42" s="25" t="s">
        <v>52</v>
      </c>
      <c r="B42" s="209" t="s">
        <v>53</v>
      </c>
      <c r="C42" s="664"/>
      <c r="D42" s="665"/>
      <c r="E42" s="30"/>
      <c r="F42" s="54"/>
    </row>
    <row r="43" spans="1:6" s="13" customFormat="1" ht="36" customHeight="1" x14ac:dyDescent="0.25">
      <c r="A43" s="519" t="s">
        <v>12</v>
      </c>
      <c r="B43" s="621" t="s">
        <v>142</v>
      </c>
      <c r="C43" s="521" t="s">
        <v>205</v>
      </c>
      <c r="D43" s="522"/>
      <c r="E43" s="29"/>
      <c r="F43" s="55" t="s">
        <v>368</v>
      </c>
    </row>
    <row r="44" spans="1:6" s="13" customFormat="1" ht="30" customHeight="1" x14ac:dyDescent="0.25">
      <c r="A44" s="526"/>
      <c r="B44" s="622"/>
      <c r="C44" s="527" t="s">
        <v>518</v>
      </c>
      <c r="D44" s="528"/>
      <c r="E44" s="29"/>
      <c r="F44" s="56">
        <v>2335</v>
      </c>
    </row>
    <row r="45" spans="1:6" s="13" customFormat="1" ht="30" customHeight="1" x14ac:dyDescent="0.25">
      <c r="A45" s="526"/>
      <c r="B45" s="622"/>
      <c r="C45" s="527" t="s">
        <v>203</v>
      </c>
      <c r="D45" s="528"/>
      <c r="E45" s="29"/>
      <c r="F45" s="57" t="s">
        <v>368</v>
      </c>
    </row>
    <row r="46" spans="1:6" s="13" customFormat="1" ht="30" customHeight="1" x14ac:dyDescent="0.25">
      <c r="A46" s="526"/>
      <c r="B46" s="622"/>
      <c r="C46" s="527" t="s">
        <v>534</v>
      </c>
      <c r="D46" s="528"/>
      <c r="E46" s="29"/>
      <c r="F46" s="56">
        <v>2470</v>
      </c>
    </row>
    <row r="47" spans="1:6" s="13" customFormat="1" ht="15.75" customHeight="1" x14ac:dyDescent="0.25">
      <c r="A47" s="526"/>
      <c r="B47" s="622"/>
      <c r="C47" s="527" t="s">
        <v>112</v>
      </c>
      <c r="D47" s="528"/>
      <c r="E47" s="29"/>
      <c r="F47" s="56" t="s">
        <v>308</v>
      </c>
    </row>
    <row r="48" spans="1:6" s="13" customFormat="1" ht="15.75" customHeight="1" x14ac:dyDescent="0.25">
      <c r="A48" s="526"/>
      <c r="B48" s="622"/>
      <c r="C48" s="527" t="s">
        <v>113</v>
      </c>
      <c r="D48" s="528"/>
      <c r="E48" s="29"/>
      <c r="F48" s="56" t="s">
        <v>340</v>
      </c>
    </row>
    <row r="49" spans="1:6" s="13" customFormat="1" ht="15.75" customHeight="1" x14ac:dyDescent="0.25">
      <c r="A49" s="526"/>
      <c r="B49" s="622"/>
      <c r="C49" s="527" t="s">
        <v>114</v>
      </c>
      <c r="D49" s="528"/>
      <c r="E49" s="29"/>
      <c r="F49" s="56" t="s">
        <v>380</v>
      </c>
    </row>
    <row r="50" spans="1:6" s="13" customFormat="1" ht="15.75" customHeight="1" thickBot="1" x14ac:dyDescent="0.3">
      <c r="A50" s="520"/>
      <c r="B50" s="623"/>
      <c r="C50" s="523" t="s">
        <v>115</v>
      </c>
      <c r="D50" s="524"/>
      <c r="E50" s="29"/>
      <c r="F50" s="143" t="s">
        <v>340</v>
      </c>
    </row>
    <row r="51" spans="1:6" s="13" customFormat="1" ht="15" customHeight="1" x14ac:dyDescent="0.25">
      <c r="A51" s="23" t="s">
        <v>10</v>
      </c>
      <c r="B51" s="208" t="s">
        <v>62</v>
      </c>
      <c r="C51" s="521" t="s">
        <v>116</v>
      </c>
      <c r="D51" s="522"/>
      <c r="E51" s="29"/>
      <c r="F51" s="55">
        <v>1</v>
      </c>
    </row>
    <row r="52" spans="1:6" s="13" customFormat="1" ht="15" customHeight="1" x14ac:dyDescent="0.25">
      <c r="A52" s="110"/>
      <c r="B52" s="210"/>
      <c r="C52" s="527" t="s">
        <v>117</v>
      </c>
      <c r="D52" s="528"/>
      <c r="E52" s="29"/>
      <c r="F52" s="56" t="s">
        <v>197</v>
      </c>
    </row>
    <row r="53" spans="1:6" s="13" customFormat="1" ht="15.75" customHeight="1" thickBot="1" x14ac:dyDescent="0.3">
      <c r="A53" s="110"/>
      <c r="B53" s="210"/>
      <c r="C53" s="523" t="s">
        <v>71</v>
      </c>
      <c r="D53" s="524"/>
      <c r="E53" s="29"/>
      <c r="F53" s="84" t="s">
        <v>533</v>
      </c>
    </row>
    <row r="54" spans="1:6" s="13" customFormat="1" ht="42.75" customHeight="1" thickBot="1" x14ac:dyDescent="0.3">
      <c r="A54" s="23" t="s">
        <v>185</v>
      </c>
      <c r="B54" s="208" t="s">
        <v>186</v>
      </c>
      <c r="C54" s="543" t="s">
        <v>187</v>
      </c>
      <c r="D54" s="544"/>
      <c r="E54" s="29"/>
      <c r="F54" s="55">
        <v>113</v>
      </c>
    </row>
    <row r="55" spans="1:6" s="13" customFormat="1" ht="15" customHeight="1" x14ac:dyDescent="0.25">
      <c r="A55" s="23" t="s">
        <v>26</v>
      </c>
      <c r="B55" s="208" t="s">
        <v>532</v>
      </c>
      <c r="C55" s="521" t="s">
        <v>188</v>
      </c>
      <c r="D55" s="522"/>
      <c r="E55" s="29"/>
      <c r="F55" s="55">
        <v>1</v>
      </c>
    </row>
    <row r="56" spans="1:6" s="13" customFormat="1" ht="15" customHeight="1" x14ac:dyDescent="0.25">
      <c r="A56" s="110"/>
      <c r="B56" s="210"/>
      <c r="C56" s="527" t="s">
        <v>189</v>
      </c>
      <c r="D56" s="528"/>
      <c r="E56" s="29"/>
      <c r="F56" s="56" t="s">
        <v>531</v>
      </c>
    </row>
    <row r="57" spans="1:6" s="13" customFormat="1" ht="15.75" customHeight="1" thickBot="1" x14ac:dyDescent="0.3">
      <c r="A57" s="24"/>
      <c r="B57" s="207"/>
      <c r="C57" s="523" t="s">
        <v>190</v>
      </c>
      <c r="D57" s="524"/>
      <c r="E57" s="29"/>
      <c r="F57" s="143">
        <v>240</v>
      </c>
    </row>
    <row r="58" spans="1:6" s="13" customFormat="1" ht="15.75" customHeight="1" thickBot="1" x14ac:dyDescent="0.3">
      <c r="A58" s="25" t="s">
        <v>44</v>
      </c>
      <c r="B58" s="209" t="s">
        <v>530</v>
      </c>
      <c r="C58" s="664"/>
      <c r="D58" s="665"/>
      <c r="E58" s="30"/>
      <c r="F58" s="146"/>
    </row>
    <row r="59" spans="1:6" s="13" customFormat="1" ht="31.5" customHeight="1" thickBot="1" x14ac:dyDescent="0.3">
      <c r="A59" s="25" t="s">
        <v>44</v>
      </c>
      <c r="B59" s="209" t="s">
        <v>63</v>
      </c>
      <c r="C59" s="664"/>
      <c r="D59" s="665"/>
      <c r="E59" s="30"/>
      <c r="F59" s="146"/>
    </row>
    <row r="60" spans="1:6" s="13" customFormat="1" ht="26.25" thickBot="1" x14ac:dyDescent="0.3">
      <c r="A60" s="25" t="s">
        <v>44</v>
      </c>
      <c r="B60" s="209" t="s">
        <v>64</v>
      </c>
      <c r="C60" s="664"/>
      <c r="D60" s="665"/>
      <c r="E60" s="30"/>
      <c r="F60" s="146"/>
    </row>
    <row r="61" spans="1:6" s="13" customFormat="1" ht="15.75" customHeight="1" thickBot="1" x14ac:dyDescent="0.3">
      <c r="A61" s="25" t="s">
        <v>50</v>
      </c>
      <c r="B61" s="209" t="s">
        <v>65</v>
      </c>
      <c r="C61" s="664"/>
      <c r="D61" s="665"/>
      <c r="E61" s="30"/>
      <c r="F61" s="146"/>
    </row>
    <row r="62" spans="1:6" s="13" customFormat="1" ht="15.75" customHeight="1" thickBot="1" x14ac:dyDescent="0.3">
      <c r="A62" s="25" t="s">
        <v>27</v>
      </c>
      <c r="B62" s="209"/>
      <c r="C62" s="543" t="s">
        <v>77</v>
      </c>
      <c r="D62" s="544"/>
      <c r="E62" s="29"/>
      <c r="F62" s="54" t="s">
        <v>346</v>
      </c>
    </row>
    <row r="63" spans="1:6" s="13" customFormat="1" ht="31.5" customHeight="1" thickBot="1" x14ac:dyDescent="0.3">
      <c r="A63" s="25" t="s">
        <v>51</v>
      </c>
      <c r="B63" s="209" t="s">
        <v>79</v>
      </c>
      <c r="C63" s="664"/>
      <c r="D63" s="665"/>
      <c r="E63" s="30"/>
      <c r="F63" s="54"/>
    </row>
    <row r="64" spans="1:6" s="13" customFormat="1" ht="42" customHeight="1" thickBot="1" x14ac:dyDescent="0.3">
      <c r="A64" s="25" t="s">
        <v>54</v>
      </c>
      <c r="B64" s="209" t="s">
        <v>80</v>
      </c>
      <c r="C64" s="664"/>
      <c r="D64" s="665"/>
      <c r="E64" s="30"/>
      <c r="F64" s="54"/>
    </row>
    <row r="65" spans="1:7" s="13" customFormat="1" ht="39" thickBot="1" x14ac:dyDescent="0.3">
      <c r="A65" s="25" t="s">
        <v>29</v>
      </c>
      <c r="B65" s="209" t="s">
        <v>529</v>
      </c>
      <c r="C65" s="664"/>
      <c r="D65" s="665"/>
      <c r="E65" s="30"/>
      <c r="F65" s="54"/>
    </row>
    <row r="66" spans="1:7" s="13" customFormat="1" ht="41.25" customHeight="1" thickBot="1" x14ac:dyDescent="0.3">
      <c r="A66" s="25" t="s">
        <v>31</v>
      </c>
      <c r="B66" s="209" t="s">
        <v>94</v>
      </c>
      <c r="C66" s="543" t="s">
        <v>30</v>
      </c>
      <c r="D66" s="544"/>
      <c r="E66" s="29"/>
      <c r="F66" s="54" t="s">
        <v>347</v>
      </c>
    </row>
    <row r="67" spans="1:7" s="13" customFormat="1" ht="26.25" thickBot="1" x14ac:dyDescent="0.3">
      <c r="A67" s="25" t="s">
        <v>55</v>
      </c>
      <c r="B67" s="209" t="s">
        <v>95</v>
      </c>
      <c r="C67" s="664"/>
      <c r="D67" s="665"/>
      <c r="E67" s="30"/>
      <c r="F67" s="54" t="s">
        <v>453</v>
      </c>
    </row>
    <row r="68" spans="1:7" s="13" customFormat="1" ht="26.25" thickBot="1" x14ac:dyDescent="0.3">
      <c r="A68" s="25" t="s">
        <v>32</v>
      </c>
      <c r="B68" s="209" t="s">
        <v>96</v>
      </c>
      <c r="C68" s="543" t="s">
        <v>30</v>
      </c>
      <c r="D68" s="544"/>
      <c r="E68" s="29"/>
      <c r="F68" s="54" t="s">
        <v>348</v>
      </c>
    </row>
    <row r="69" spans="1:7" s="13" customFormat="1" ht="39" thickBot="1" x14ac:dyDescent="0.3">
      <c r="A69" s="25" t="s">
        <v>56</v>
      </c>
      <c r="B69" s="209" t="s">
        <v>528</v>
      </c>
      <c r="C69" s="664"/>
      <c r="D69" s="665"/>
      <c r="E69" s="30"/>
      <c r="F69" s="54"/>
    </row>
    <row r="70" spans="1:7" s="13" customFormat="1" ht="30" customHeight="1" thickBot="1" x14ac:dyDescent="0.3">
      <c r="A70" s="25" t="s">
        <v>48</v>
      </c>
      <c r="B70" s="209" t="s">
        <v>527</v>
      </c>
      <c r="C70" s="664"/>
      <c r="D70" s="665"/>
      <c r="E70" s="30"/>
      <c r="F70" s="54"/>
    </row>
    <row r="71" spans="1:7" s="13" customFormat="1" ht="41.45" customHeight="1" thickBot="1" x14ac:dyDescent="0.3">
      <c r="A71" s="25" t="s">
        <v>49</v>
      </c>
      <c r="B71" s="209" t="s">
        <v>103</v>
      </c>
      <c r="C71" s="531" t="s">
        <v>526</v>
      </c>
      <c r="D71" s="532"/>
      <c r="E71" s="30"/>
      <c r="F71" s="54" t="s">
        <v>525</v>
      </c>
    </row>
    <row r="72" spans="1:7" s="13" customFormat="1" ht="26.25" thickBot="1" x14ac:dyDescent="0.3">
      <c r="A72" s="25" t="s">
        <v>46</v>
      </c>
      <c r="B72" s="209" t="s">
        <v>81</v>
      </c>
      <c r="C72" s="664"/>
      <c r="D72" s="665"/>
      <c r="E72" s="30"/>
      <c r="F72" s="54"/>
    </row>
    <row r="73" spans="1:7" ht="13.5" thickBot="1" x14ac:dyDescent="0.25"/>
    <row r="74" spans="1:7" s="16" customFormat="1" ht="18" customHeight="1" thickBot="1" x14ac:dyDescent="0.3">
      <c r="A74" s="620" t="s">
        <v>627</v>
      </c>
      <c r="B74" s="537"/>
      <c r="C74" s="537"/>
      <c r="D74" s="538"/>
      <c r="E74" s="206"/>
      <c r="F74" s="666" t="s">
        <v>511</v>
      </c>
      <c r="G74" s="672" t="s">
        <v>509</v>
      </c>
    </row>
    <row r="75" spans="1:7" s="3" customFormat="1" ht="30.75" customHeight="1" x14ac:dyDescent="0.25">
      <c r="A75" s="19" t="s">
        <v>33</v>
      </c>
      <c r="B75" s="211" t="s">
        <v>7</v>
      </c>
      <c r="C75" s="614" t="s">
        <v>628</v>
      </c>
      <c r="D75" s="615"/>
      <c r="E75" s="34"/>
      <c r="F75" s="674"/>
      <c r="G75" s="673"/>
    </row>
    <row r="76" spans="1:7" s="13" customFormat="1" ht="42.75" customHeight="1" thickBot="1" x14ac:dyDescent="0.3">
      <c r="A76" s="18" t="s">
        <v>83</v>
      </c>
      <c r="B76" s="212" t="s">
        <v>146</v>
      </c>
      <c r="C76" s="662"/>
      <c r="D76" s="663"/>
      <c r="E76" s="30"/>
      <c r="F76" s="67"/>
      <c r="G76" s="125">
        <v>-1117.06</v>
      </c>
    </row>
    <row r="77" spans="1:7" s="13" customFormat="1" ht="27.75" customHeight="1" thickBot="1" x14ac:dyDescent="0.3">
      <c r="A77" s="25" t="s">
        <v>34</v>
      </c>
      <c r="B77" s="209" t="s">
        <v>522</v>
      </c>
      <c r="C77" s="543" t="s">
        <v>30</v>
      </c>
      <c r="D77" s="544"/>
      <c r="E77" s="29"/>
      <c r="F77" s="65" t="s">
        <v>349</v>
      </c>
      <c r="G77" s="139">
        <v>588.39</v>
      </c>
    </row>
    <row r="78" spans="1:7" s="13" customFormat="1" ht="39" thickBot="1" x14ac:dyDescent="0.3">
      <c r="A78" s="25" t="s">
        <v>35</v>
      </c>
      <c r="B78" s="209" t="s">
        <v>97</v>
      </c>
      <c r="C78" s="662"/>
      <c r="D78" s="663"/>
      <c r="E78" s="30"/>
      <c r="F78" s="65"/>
      <c r="G78" s="139">
        <v>288.67</v>
      </c>
    </row>
    <row r="79" spans="1:7" s="13" customFormat="1" ht="39" thickBot="1" x14ac:dyDescent="0.3">
      <c r="A79" s="25" t="s">
        <v>36</v>
      </c>
      <c r="B79" s="209" t="s">
        <v>521</v>
      </c>
      <c r="C79" s="543" t="s">
        <v>99</v>
      </c>
      <c r="D79" s="544"/>
      <c r="E79" s="29"/>
      <c r="F79" s="65" t="s">
        <v>384</v>
      </c>
      <c r="G79" s="139">
        <v>320.74</v>
      </c>
    </row>
    <row r="80" spans="1:7" s="13" customFormat="1" ht="53.25" customHeight="1" x14ac:dyDescent="0.25">
      <c r="A80" s="23" t="s">
        <v>60</v>
      </c>
      <c r="B80" s="208" t="s">
        <v>520</v>
      </c>
      <c r="C80" s="521" t="s">
        <v>203</v>
      </c>
      <c r="D80" s="522"/>
      <c r="E80" s="29"/>
      <c r="F80" s="66" t="s">
        <v>368</v>
      </c>
      <c r="G80" s="148">
        <v>1201.1199999999999</v>
      </c>
    </row>
    <row r="81" spans="1:7" s="13" customFormat="1" ht="27.75" customHeight="1" x14ac:dyDescent="0.25">
      <c r="A81" s="110"/>
      <c r="B81" s="210"/>
      <c r="C81" s="527" t="s">
        <v>517</v>
      </c>
      <c r="D81" s="528"/>
      <c r="E81" s="29"/>
      <c r="F81" s="36">
        <v>2470</v>
      </c>
      <c r="G81" s="149"/>
    </row>
    <row r="82" spans="1:7" s="13" customFormat="1" ht="15" customHeight="1" x14ac:dyDescent="0.25">
      <c r="A82" s="110"/>
      <c r="B82" s="210"/>
      <c r="C82" s="616" t="s">
        <v>114</v>
      </c>
      <c r="D82" s="617"/>
      <c r="E82" s="29"/>
      <c r="F82" s="36" t="s">
        <v>352</v>
      </c>
      <c r="G82" s="149"/>
    </row>
    <row r="83" spans="1:7" s="13" customFormat="1" ht="15.75" customHeight="1" thickBot="1" x14ac:dyDescent="0.3">
      <c r="A83" s="24"/>
      <c r="B83" s="207"/>
      <c r="C83" s="523" t="s">
        <v>115</v>
      </c>
      <c r="D83" s="524"/>
      <c r="E83" s="29"/>
      <c r="F83" s="67" t="s">
        <v>353</v>
      </c>
      <c r="G83" s="125"/>
    </row>
    <row r="84" spans="1:7" s="13" customFormat="1" ht="51.75" customHeight="1" x14ac:dyDescent="0.25">
      <c r="A84" s="23" t="s">
        <v>61</v>
      </c>
      <c r="B84" s="208" t="s">
        <v>519</v>
      </c>
      <c r="C84" s="618" t="s">
        <v>205</v>
      </c>
      <c r="D84" s="619"/>
      <c r="E84" s="29"/>
      <c r="F84" s="66" t="s">
        <v>368</v>
      </c>
      <c r="G84" s="148">
        <v>1685.54</v>
      </c>
    </row>
    <row r="85" spans="1:7" s="13" customFormat="1" ht="29.25" customHeight="1" x14ac:dyDescent="0.25">
      <c r="A85" s="110"/>
      <c r="B85" s="210"/>
      <c r="C85" s="616" t="s">
        <v>518</v>
      </c>
      <c r="D85" s="617"/>
      <c r="E85" s="29"/>
      <c r="F85" s="68">
        <v>2680</v>
      </c>
      <c r="G85" s="149"/>
    </row>
    <row r="86" spans="1:7" s="13" customFormat="1" ht="52.5" customHeight="1" x14ac:dyDescent="0.25">
      <c r="A86" s="110"/>
      <c r="B86" s="210"/>
      <c r="C86" s="616" t="s">
        <v>203</v>
      </c>
      <c r="D86" s="617"/>
      <c r="E86" s="29"/>
      <c r="F86" s="68" t="s">
        <v>368</v>
      </c>
      <c r="G86" s="149"/>
    </row>
    <row r="87" spans="1:7" s="13" customFormat="1" ht="29.25" customHeight="1" x14ac:dyDescent="0.25">
      <c r="A87" s="110"/>
      <c r="B87" s="210"/>
      <c r="C87" s="616" t="s">
        <v>517</v>
      </c>
      <c r="D87" s="617"/>
      <c r="E87" s="29"/>
      <c r="F87" s="36">
        <v>2470</v>
      </c>
      <c r="G87" s="149"/>
    </row>
    <row r="88" spans="1:7" s="13" customFormat="1" ht="15" customHeight="1" x14ac:dyDescent="0.25">
      <c r="A88" s="110"/>
      <c r="B88" s="210"/>
      <c r="C88" s="616" t="s">
        <v>112</v>
      </c>
      <c r="D88" s="617"/>
      <c r="E88" s="29"/>
      <c r="F88" s="36" t="s">
        <v>308</v>
      </c>
      <c r="G88" s="149"/>
    </row>
    <row r="89" spans="1:7" s="13" customFormat="1" ht="15" customHeight="1" x14ac:dyDescent="0.25">
      <c r="A89" s="110"/>
      <c r="B89" s="210"/>
      <c r="C89" s="616" t="s">
        <v>113</v>
      </c>
      <c r="D89" s="617"/>
      <c r="E89" s="29"/>
      <c r="F89" s="68" t="s">
        <v>356</v>
      </c>
      <c r="G89" s="149"/>
    </row>
    <row r="90" spans="1:7" s="13" customFormat="1" ht="15" customHeight="1" x14ac:dyDescent="0.25">
      <c r="A90" s="110"/>
      <c r="B90" s="210"/>
      <c r="C90" s="616" t="s">
        <v>114</v>
      </c>
      <c r="D90" s="617"/>
      <c r="E90" s="29"/>
      <c r="F90" s="68" t="s">
        <v>380</v>
      </c>
      <c r="G90" s="149"/>
    </row>
    <row r="91" spans="1:7" s="13" customFormat="1" ht="15.75" customHeight="1" thickBot="1" x14ac:dyDescent="0.3">
      <c r="A91" s="24"/>
      <c r="B91" s="207"/>
      <c r="C91" s="523" t="s">
        <v>115</v>
      </c>
      <c r="D91" s="524"/>
      <c r="E91" s="29"/>
      <c r="F91" s="67" t="s">
        <v>356</v>
      </c>
      <c r="G91" s="125"/>
    </row>
    <row r="92" spans="1:7" s="13" customFormat="1" ht="131.25" customHeight="1" thickBot="1" x14ac:dyDescent="0.3">
      <c r="A92" s="17" t="s">
        <v>86</v>
      </c>
      <c r="B92" s="213" t="s">
        <v>143</v>
      </c>
      <c r="C92" s="543" t="s">
        <v>104</v>
      </c>
      <c r="D92" s="544"/>
      <c r="E92" s="29"/>
      <c r="F92" s="66" t="s">
        <v>357</v>
      </c>
      <c r="G92" s="139">
        <v>946.74</v>
      </c>
    </row>
    <row r="93" spans="1:7" ht="50.65" customHeight="1" x14ac:dyDescent="0.2">
      <c r="A93" s="23" t="s">
        <v>13</v>
      </c>
      <c r="B93" s="208" t="s">
        <v>98</v>
      </c>
      <c r="C93" s="521" t="s">
        <v>30</v>
      </c>
      <c r="D93" s="522"/>
      <c r="E93" s="29"/>
      <c r="F93" s="66" t="s">
        <v>358</v>
      </c>
      <c r="G93" s="148">
        <v>11945.91</v>
      </c>
    </row>
    <row r="94" spans="1:7" ht="18" customHeight="1" thickBot="1" x14ac:dyDescent="0.25">
      <c r="A94" s="24"/>
      <c r="B94" s="207"/>
      <c r="C94" s="523" t="s">
        <v>109</v>
      </c>
      <c r="D94" s="524"/>
      <c r="E94" s="29"/>
      <c r="F94" s="67" t="s">
        <v>359</v>
      </c>
      <c r="G94" s="125"/>
    </row>
    <row r="95" spans="1:7" ht="64.5" thickBot="1" x14ac:dyDescent="0.25">
      <c r="A95" s="25" t="s">
        <v>37</v>
      </c>
      <c r="B95" s="209" t="s">
        <v>135</v>
      </c>
      <c r="C95" s="531" t="s">
        <v>516</v>
      </c>
      <c r="D95" s="532"/>
      <c r="E95" s="30"/>
      <c r="F95" s="67" t="s">
        <v>375</v>
      </c>
      <c r="G95" s="125">
        <v>553</v>
      </c>
    </row>
    <row r="96" spans="1:7" ht="26.25" thickBot="1" x14ac:dyDescent="0.25">
      <c r="A96" s="25" t="s">
        <v>38</v>
      </c>
      <c r="B96" s="209" t="s">
        <v>87</v>
      </c>
      <c r="C96" s="664"/>
      <c r="D96" s="665"/>
      <c r="E96" s="30"/>
      <c r="F96" s="65"/>
      <c r="G96" s="139">
        <v>732.17</v>
      </c>
    </row>
    <row r="97" spans="1:8" ht="26.25" thickBot="1" x14ac:dyDescent="0.25">
      <c r="A97" s="25" t="s">
        <v>39</v>
      </c>
      <c r="B97" s="209" t="s">
        <v>106</v>
      </c>
      <c r="C97" s="543" t="s">
        <v>105</v>
      </c>
      <c r="D97" s="544"/>
      <c r="E97" s="29"/>
      <c r="F97" s="65" t="s">
        <v>207</v>
      </c>
      <c r="G97" s="139">
        <v>975.49</v>
      </c>
    </row>
    <row r="98" spans="1:8" ht="44.45" customHeight="1" thickBot="1" x14ac:dyDescent="0.25">
      <c r="A98" s="25" t="s">
        <v>90</v>
      </c>
      <c r="B98" s="209" t="s">
        <v>129</v>
      </c>
      <c r="C98" s="531" t="s">
        <v>515</v>
      </c>
      <c r="D98" s="532"/>
      <c r="E98" s="30"/>
      <c r="F98" s="65" t="s">
        <v>454</v>
      </c>
      <c r="G98" s="139">
        <v>436.73</v>
      </c>
    </row>
    <row r="99" spans="1:8" ht="43.5" customHeight="1" thickBot="1" x14ac:dyDescent="0.25">
      <c r="A99" s="25" t="s">
        <v>40</v>
      </c>
      <c r="B99" s="209" t="s">
        <v>137</v>
      </c>
      <c r="C99" s="543" t="s">
        <v>100</v>
      </c>
      <c r="D99" s="544"/>
      <c r="E99" s="29"/>
      <c r="F99" s="65" t="s">
        <v>360</v>
      </c>
      <c r="G99" s="140">
        <v>225.62</v>
      </c>
    </row>
    <row r="100" spans="1:8" ht="40.15" customHeight="1" x14ac:dyDescent="0.2">
      <c r="A100" s="23" t="s">
        <v>14</v>
      </c>
      <c r="B100" s="208" t="s">
        <v>138</v>
      </c>
      <c r="C100" s="618" t="s">
        <v>139</v>
      </c>
      <c r="D100" s="619"/>
      <c r="E100" s="29"/>
      <c r="F100" s="214" t="s">
        <v>514</v>
      </c>
      <c r="G100" s="148">
        <v>13611.29</v>
      </c>
    </row>
    <row r="101" spans="1:8" ht="57" customHeight="1" thickBot="1" x14ac:dyDescent="0.25">
      <c r="A101" s="24"/>
      <c r="B101" s="207"/>
      <c r="C101" s="523" t="s">
        <v>274</v>
      </c>
      <c r="D101" s="524"/>
      <c r="E101" s="29"/>
      <c r="F101" s="63"/>
      <c r="G101" s="125"/>
    </row>
    <row r="102" spans="1:8" ht="68.25" customHeight="1" thickBot="1" x14ac:dyDescent="0.25">
      <c r="A102" s="25" t="s">
        <v>91</v>
      </c>
      <c r="B102" s="209" t="s">
        <v>144</v>
      </c>
      <c r="C102" s="543" t="s">
        <v>100</v>
      </c>
      <c r="D102" s="544"/>
      <c r="E102" s="29"/>
      <c r="F102" s="65" t="s">
        <v>361</v>
      </c>
      <c r="G102" s="140">
        <v>2179.9299999999998</v>
      </c>
    </row>
    <row r="103" spans="1:8" ht="51.75" thickBot="1" x14ac:dyDescent="0.25">
      <c r="A103" s="25" t="s">
        <v>92</v>
      </c>
      <c r="B103" s="209" t="s">
        <v>145</v>
      </c>
      <c r="C103" s="664"/>
      <c r="D103" s="665"/>
      <c r="E103" s="30"/>
      <c r="F103" s="65"/>
      <c r="G103" s="139">
        <v>-2237.44</v>
      </c>
    </row>
    <row r="104" spans="1:8" ht="13.5" thickBot="1" x14ac:dyDescent="0.25"/>
    <row r="105" spans="1:8" s="16" customFormat="1" ht="31.5" customHeight="1" thickBot="1" x14ac:dyDescent="0.3">
      <c r="A105" s="536" t="s">
        <v>629</v>
      </c>
      <c r="B105" s="537"/>
      <c r="C105" s="537"/>
      <c r="D105" s="538"/>
      <c r="E105" s="206"/>
      <c r="F105" s="666" t="s">
        <v>511</v>
      </c>
      <c r="G105" s="669" t="s">
        <v>509</v>
      </c>
    </row>
    <row r="106" spans="1:8" s="16" customFormat="1" ht="24.75" customHeight="1" thickBot="1" x14ac:dyDescent="0.3">
      <c r="A106" s="575" t="s">
        <v>630</v>
      </c>
      <c r="B106" s="612"/>
      <c r="C106" s="612"/>
      <c r="D106" s="612"/>
      <c r="E106" s="206"/>
      <c r="F106" s="667"/>
      <c r="G106" s="670"/>
      <c r="H106" s="206"/>
    </row>
    <row r="107" spans="1:8" ht="26.25" customHeight="1" thickBot="1" x14ac:dyDescent="0.25">
      <c r="A107" s="215" t="s">
        <v>33</v>
      </c>
      <c r="B107" s="216" t="s">
        <v>7</v>
      </c>
      <c r="C107" s="614" t="s">
        <v>628</v>
      </c>
      <c r="D107" s="615"/>
      <c r="E107" s="34"/>
      <c r="F107" s="668"/>
      <c r="G107" s="671"/>
    </row>
    <row r="108" spans="1:8" ht="239.25" customHeight="1" thickBot="1" x14ac:dyDescent="0.25">
      <c r="A108" s="217" t="s">
        <v>85</v>
      </c>
      <c r="B108" s="14" t="s">
        <v>170</v>
      </c>
      <c r="C108" s="491" t="s">
        <v>104</v>
      </c>
      <c r="D108" s="493"/>
      <c r="E108" s="13"/>
      <c r="F108" s="65" t="s">
        <v>357</v>
      </c>
      <c r="G108" s="218">
        <v>6663.08</v>
      </c>
    </row>
    <row r="109" spans="1:8" ht="80.25" customHeight="1" x14ac:dyDescent="0.2">
      <c r="A109" s="92" t="s">
        <v>20</v>
      </c>
      <c r="B109" s="219" t="s">
        <v>507</v>
      </c>
      <c r="C109" s="658"/>
      <c r="D109" s="659"/>
      <c r="E109" s="220"/>
      <c r="F109" s="44"/>
      <c r="G109" s="221">
        <v>1741</v>
      </c>
    </row>
    <row r="110" spans="1:8" ht="26.25" thickBot="1" x14ac:dyDescent="0.25">
      <c r="A110" s="222" t="s">
        <v>82</v>
      </c>
      <c r="B110" s="120" t="s">
        <v>130</v>
      </c>
      <c r="C110" s="660"/>
      <c r="D110" s="661"/>
      <c r="E110" s="30"/>
      <c r="F110" s="67"/>
      <c r="G110" s="218">
        <v>1071</v>
      </c>
    </row>
    <row r="111" spans="1:8" ht="39" thickBot="1" x14ac:dyDescent="0.25">
      <c r="A111" s="223" t="s">
        <v>272</v>
      </c>
      <c r="B111" s="119" t="s">
        <v>506</v>
      </c>
      <c r="C111" s="662"/>
      <c r="D111" s="663"/>
      <c r="E111" s="29"/>
      <c r="F111" s="65"/>
      <c r="G111" s="224"/>
    </row>
  </sheetData>
  <dataConsolidate/>
  <mergeCells count="96">
    <mergeCell ref="A3:D3"/>
    <mergeCell ref="A4:D4"/>
    <mergeCell ref="A6:D6"/>
    <mergeCell ref="A21:D21"/>
    <mergeCell ref="F21:F22"/>
    <mergeCell ref="F27:F28"/>
    <mergeCell ref="C28:D28"/>
    <mergeCell ref="C29:D29"/>
    <mergeCell ref="C30:D30"/>
    <mergeCell ref="C31:D31"/>
    <mergeCell ref="B23:D23"/>
    <mergeCell ref="A43:A50"/>
    <mergeCell ref="B43:B50"/>
    <mergeCell ref="C43:D43"/>
    <mergeCell ref="C44:D44"/>
    <mergeCell ref="C45:D45"/>
    <mergeCell ref="C37:D37"/>
    <mergeCell ref="A27:D27"/>
    <mergeCell ref="C32:D32"/>
    <mergeCell ref="C33:D33"/>
    <mergeCell ref="C34:D34"/>
    <mergeCell ref="C35:D35"/>
    <mergeCell ref="C36:D36"/>
    <mergeCell ref="C51:D51"/>
    <mergeCell ref="C38:D38"/>
    <mergeCell ref="C39:D39"/>
    <mergeCell ref="C40:D40"/>
    <mergeCell ref="C41:D41"/>
    <mergeCell ref="C42:D42"/>
    <mergeCell ref="C46:D46"/>
    <mergeCell ref="C47:D47"/>
    <mergeCell ref="C48:D48"/>
    <mergeCell ref="C49:D49"/>
    <mergeCell ref="C50:D50"/>
    <mergeCell ref="C63:D63"/>
    <mergeCell ref="C52:D52"/>
    <mergeCell ref="C53:D53"/>
    <mergeCell ref="C54:D54"/>
    <mergeCell ref="C55:D55"/>
    <mergeCell ref="C56:D56"/>
    <mergeCell ref="C57:D57"/>
    <mergeCell ref="C58:D58"/>
    <mergeCell ref="C59:D59"/>
    <mergeCell ref="C60:D60"/>
    <mergeCell ref="C61:D61"/>
    <mergeCell ref="C62:D62"/>
    <mergeCell ref="G74:G75"/>
    <mergeCell ref="C64:D64"/>
    <mergeCell ref="C65:D65"/>
    <mergeCell ref="C66:D66"/>
    <mergeCell ref="C67:D67"/>
    <mergeCell ref="C68:D68"/>
    <mergeCell ref="C69:D69"/>
    <mergeCell ref="C70:D70"/>
    <mergeCell ref="C71:D71"/>
    <mergeCell ref="C72:D72"/>
    <mergeCell ref="A74:D74"/>
    <mergeCell ref="F74:F75"/>
    <mergeCell ref="C84:D84"/>
    <mergeCell ref="C75:D75"/>
    <mergeCell ref="C76:D76"/>
    <mergeCell ref="C77:D77"/>
    <mergeCell ref="C78:D78"/>
    <mergeCell ref="C79:D79"/>
    <mergeCell ref="C80:D80"/>
    <mergeCell ref="C81:D81"/>
    <mergeCell ref="C82:D82"/>
    <mergeCell ref="C83:D83"/>
    <mergeCell ref="C96:D96"/>
    <mergeCell ref="C85:D85"/>
    <mergeCell ref="C86:D86"/>
    <mergeCell ref="C87:D87"/>
    <mergeCell ref="C88:D88"/>
    <mergeCell ref="C89:D89"/>
    <mergeCell ref="C90:D90"/>
    <mergeCell ref="C91:D91"/>
    <mergeCell ref="C92:D92"/>
    <mergeCell ref="C93:D93"/>
    <mergeCell ref="C94:D94"/>
    <mergeCell ref="C95:D95"/>
    <mergeCell ref="F105:F107"/>
    <mergeCell ref="G105:G107"/>
    <mergeCell ref="A106:D106"/>
    <mergeCell ref="C107:D107"/>
    <mergeCell ref="C97:D97"/>
    <mergeCell ref="C98:D98"/>
    <mergeCell ref="C99:D99"/>
    <mergeCell ref="C100:D100"/>
    <mergeCell ref="C101:D101"/>
    <mergeCell ref="C102:D102"/>
    <mergeCell ref="C108:D108"/>
    <mergeCell ref="C109:D109"/>
    <mergeCell ref="C110:D110"/>
    <mergeCell ref="C111:D111"/>
    <mergeCell ref="C103:D103"/>
    <mergeCell ref="A105:D105"/>
  </mergeCells>
  <conditionalFormatting sqref="F8:F19">
    <cfRule type="expression" dxfId="154" priority="6">
      <formula>#REF!="NO"</formula>
    </cfRule>
  </conditionalFormatting>
  <conditionalFormatting sqref="F23:F24 E29:F70 C29:C72 F71 E72:F72 E76:G97 C76:C103 F98:G98 E99:G100 E102:G103 E108:F108 C108:C111 E110:G111">
    <cfRule type="expression" dxfId="153" priority="4">
      <formula>#REF!="NO"</formula>
    </cfRule>
  </conditionalFormatting>
  <conditionalFormatting sqref="F109">
    <cfRule type="expression" dxfId="152" priority="3">
      <formula>#REF!="NO"</formula>
    </cfRule>
  </conditionalFormatting>
  <conditionalFormatting sqref="G108:G109">
    <cfRule type="expression" dxfId="151" priority="2">
      <formula>#REF!="NO"</formula>
    </cfRule>
  </conditionalFormatting>
  <dataValidations count="4">
    <dataValidation type="decimal" operator="greaterThanOrEqual" allowBlank="1" showInputMessage="1" showErrorMessage="1" error="The Pickup Allowance cannot be a negative number." sqref="F18" xr:uid="{59ACA568-D122-4019-B823-EE7DF78E7B22}">
      <formula1>0</formula1>
    </dataValidation>
    <dataValidation type="list" allowBlank="1" showInputMessage="1" showErrorMessage="1" errorTitle="Error" error="Invalid Entry – Bidder must enter YES in uppercase or refrain from answering." sqref="C42 C72 C103 C32 C96 C78 C69:C70 C76 C58:C61 C63:C65 C67 C109:C111" xr:uid="{ED50CA43-E158-4F3D-A125-055FE43429A1}">
      <formula1>"YES, NO"</formula1>
    </dataValidation>
    <dataValidation type="decimal" allowBlank="1" showInputMessage="1" showErrorMessage="1" error="The Additional Options NYS Discount entered must be greater than 0%, or less than or equal to 100%." sqref="F24" xr:uid="{E5BD7A64-04E3-47C9-A57C-8613AAA195D4}">
      <formula1>0.01</formula1>
      <formula2>100</formula2>
    </dataValidation>
    <dataValidation type="decimal" allowBlank="1" showInputMessage="1" showErrorMessage="1" error="Invalid Entry - Bidder must enter a value that is greater than $0" sqref="F23" xr:uid="{90B76444-6A55-40F3-BE14-1C6B93A52E2A}">
      <formula1>0</formula1>
      <formula2>9E+21</formula2>
    </dataValidation>
  </dataValidations>
  <pageMargins left="0.25" right="0.25" top="0.75" bottom="0.25" header="0.3" footer="0.3"/>
  <pageSetup scale="5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EB600-61C3-4548-8948-B2043D248517}">
  <sheetPr>
    <tabColor rgb="FFCC66FF"/>
    <pageSetUpPr autoPageBreaks="0" fitToPage="1"/>
  </sheetPr>
  <dimension ref="A1:J117"/>
  <sheetViews>
    <sheetView showGridLines="0" zoomScale="80" zoomScaleNormal="80" workbookViewId="0">
      <selection activeCell="A2" sqref="A2"/>
    </sheetView>
  </sheetViews>
  <sheetFormatPr defaultColWidth="9.140625" defaultRowHeight="12.75" x14ac:dyDescent="0.2"/>
  <cols>
    <col min="1" max="1" width="19.140625" style="2" customWidth="1"/>
    <col min="2" max="2" width="75.28515625" style="2" customWidth="1"/>
    <col min="3" max="3" width="6.85546875" style="2" customWidth="1"/>
    <col min="4" max="4" width="13.7109375" style="2" customWidth="1"/>
    <col min="5" max="5" width="23.28515625" style="5" customWidth="1"/>
    <col min="6" max="11" width="20.7109375" style="2" customWidth="1"/>
    <col min="12" max="16384" width="9.140625" style="2"/>
  </cols>
  <sheetData>
    <row r="1" spans="1:7" ht="18" customHeight="1" x14ac:dyDescent="0.2">
      <c r="A1" s="86" t="s">
        <v>600</v>
      </c>
      <c r="E1" s="2"/>
    </row>
    <row r="2" spans="1:7" s="20" customFormat="1" ht="18" customHeight="1" x14ac:dyDescent="0.25">
      <c r="A2" s="20" t="str">
        <f>'Attachment 1 - Summary'!B2</f>
        <v>PC69863 Nesco Bus and Truck Sales, Inc.</v>
      </c>
      <c r="B2" s="21"/>
      <c r="C2" s="21"/>
      <c r="D2" s="21"/>
      <c r="E2" s="21"/>
      <c r="F2" s="21"/>
      <c r="G2" s="21"/>
    </row>
    <row r="3" spans="1:7" ht="23.25" x14ac:dyDescent="0.2">
      <c r="A3" s="706" t="s">
        <v>569</v>
      </c>
      <c r="B3" s="706"/>
      <c r="C3" s="706"/>
      <c r="D3" s="706"/>
      <c r="E3" s="706"/>
      <c r="F3" s="8"/>
      <c r="G3" s="8"/>
    </row>
    <row r="4" spans="1:7" ht="51" customHeight="1" x14ac:dyDescent="0.2">
      <c r="A4" s="707" t="s">
        <v>568</v>
      </c>
      <c r="B4" s="707"/>
      <c r="C4" s="707"/>
      <c r="D4" s="707"/>
      <c r="E4" s="707"/>
      <c r="F4" s="8"/>
      <c r="G4" s="8"/>
    </row>
    <row r="5" spans="1:7" s="4" customFormat="1" ht="11.25" customHeight="1" thickBot="1" x14ac:dyDescent="0.3">
      <c r="A5" s="708"/>
      <c r="B5" s="708"/>
      <c r="C5" s="708"/>
      <c r="D5" s="709"/>
      <c r="E5" s="709"/>
      <c r="F5" s="191"/>
      <c r="G5" s="191"/>
    </row>
    <row r="6" spans="1:7" s="7" customFormat="1" ht="16.5" customHeight="1" thickBot="1" x14ac:dyDescent="0.25">
      <c r="A6" s="509" t="s">
        <v>567</v>
      </c>
      <c r="B6" s="510"/>
      <c r="C6" s="510"/>
      <c r="D6" s="510"/>
      <c r="E6" s="510"/>
      <c r="F6" s="510"/>
      <c r="G6" s="710"/>
    </row>
    <row r="7" spans="1:7" s="4" customFormat="1" ht="23.25" customHeight="1" thickBot="1" x14ac:dyDescent="0.3">
      <c r="A7" s="175" t="s">
        <v>6</v>
      </c>
      <c r="B7" s="711" t="s">
        <v>601</v>
      </c>
      <c r="C7" s="712"/>
      <c r="D7" s="712"/>
      <c r="E7" s="713"/>
      <c r="F7" s="190" t="s">
        <v>184</v>
      </c>
      <c r="G7" s="189" t="s">
        <v>510</v>
      </c>
    </row>
    <row r="8" spans="1:7" ht="72.75" customHeight="1" thickTop="1" thickBot="1" x14ac:dyDescent="0.25">
      <c r="A8" s="166" t="s">
        <v>185</v>
      </c>
      <c r="B8" s="500" t="s">
        <v>439</v>
      </c>
      <c r="C8" s="501"/>
      <c r="D8" s="501"/>
      <c r="E8" s="714"/>
      <c r="F8" s="188" t="s">
        <v>566</v>
      </c>
      <c r="G8" s="187" t="s">
        <v>571</v>
      </c>
    </row>
    <row r="9" spans="1:7" s="7" customFormat="1" ht="122.25" customHeight="1" thickTop="1" thickBot="1" x14ac:dyDescent="0.25">
      <c r="A9" s="166" t="s">
        <v>136</v>
      </c>
      <c r="B9" s="500" t="s">
        <v>565</v>
      </c>
      <c r="C9" s="501"/>
      <c r="D9" s="501"/>
      <c r="E9" s="501"/>
      <c r="F9" s="188" t="s">
        <v>570</v>
      </c>
      <c r="G9" s="187"/>
    </row>
    <row r="10" spans="1:7" ht="12.75" customHeight="1" thickTop="1" x14ac:dyDescent="0.2">
      <c r="A10" s="184" t="s">
        <v>563</v>
      </c>
      <c r="B10" s="497" t="s">
        <v>562</v>
      </c>
      <c r="C10" s="498"/>
      <c r="D10" s="498"/>
      <c r="E10" s="699"/>
      <c r="F10" s="89">
        <v>2024</v>
      </c>
      <c r="G10" s="153"/>
    </row>
    <row r="11" spans="1:7" ht="12.75" customHeight="1" x14ac:dyDescent="0.2">
      <c r="A11" s="162" t="s">
        <v>0</v>
      </c>
      <c r="B11" s="491" t="s">
        <v>561</v>
      </c>
      <c r="C11" s="492"/>
      <c r="D11" s="492"/>
      <c r="E11" s="694"/>
      <c r="F11" s="83" t="s">
        <v>304</v>
      </c>
      <c r="G11" s="150"/>
    </row>
    <row r="12" spans="1:7" x14ac:dyDescent="0.2">
      <c r="A12" s="162" t="s">
        <v>1</v>
      </c>
      <c r="B12" s="491" t="s">
        <v>560</v>
      </c>
      <c r="C12" s="492"/>
      <c r="D12" s="492"/>
      <c r="E12" s="694"/>
      <c r="F12" s="83">
        <v>4500</v>
      </c>
      <c r="G12" s="150"/>
    </row>
    <row r="13" spans="1:7" ht="12.75" customHeight="1" thickBot="1" x14ac:dyDescent="0.25">
      <c r="A13" s="160" t="s">
        <v>2</v>
      </c>
      <c r="B13" s="494" t="s">
        <v>558</v>
      </c>
      <c r="C13" s="495"/>
      <c r="D13" s="495"/>
      <c r="E13" s="695"/>
      <c r="F13" s="186" t="s">
        <v>386</v>
      </c>
      <c r="G13" s="185"/>
    </row>
    <row r="14" spans="1:7" ht="12.75" customHeight="1" thickTop="1" x14ac:dyDescent="0.2">
      <c r="A14" s="184" t="s">
        <v>556</v>
      </c>
      <c r="B14" s="696" t="s">
        <v>555</v>
      </c>
      <c r="C14" s="697"/>
      <c r="D14" s="697"/>
      <c r="E14" s="698"/>
      <c r="F14" s="89">
        <v>2024</v>
      </c>
      <c r="G14" s="153"/>
    </row>
    <row r="15" spans="1:7" x14ac:dyDescent="0.2">
      <c r="A15" s="162" t="s">
        <v>3</v>
      </c>
      <c r="B15" s="491" t="s">
        <v>554</v>
      </c>
      <c r="C15" s="492"/>
      <c r="D15" s="492"/>
      <c r="E15" s="492"/>
      <c r="F15" s="83" t="s">
        <v>334</v>
      </c>
      <c r="G15" s="150"/>
    </row>
    <row r="16" spans="1:7" x14ac:dyDescent="0.2">
      <c r="A16" s="162" t="s">
        <v>4</v>
      </c>
      <c r="B16" s="491" t="s">
        <v>553</v>
      </c>
      <c r="C16" s="492"/>
      <c r="D16" s="492"/>
      <c r="E16" s="492"/>
      <c r="F16" s="83" t="s">
        <v>335</v>
      </c>
      <c r="G16" s="150"/>
    </row>
    <row r="17" spans="1:10" ht="13.5" thickBot="1" x14ac:dyDescent="0.25">
      <c r="A17" s="179" t="s">
        <v>5</v>
      </c>
      <c r="B17" s="494" t="s">
        <v>552</v>
      </c>
      <c r="C17" s="495"/>
      <c r="D17" s="495"/>
      <c r="E17" s="695"/>
      <c r="F17" s="178" t="s">
        <v>387</v>
      </c>
      <c r="G17" s="177"/>
    </row>
    <row r="18" spans="1:10" ht="29.25" customHeight="1" thickTop="1" x14ac:dyDescent="0.2">
      <c r="A18" s="162" t="s">
        <v>101</v>
      </c>
      <c r="B18" s="497" t="s">
        <v>551</v>
      </c>
      <c r="C18" s="498"/>
      <c r="D18" s="498"/>
      <c r="E18" s="699"/>
      <c r="F18" s="181">
        <v>100</v>
      </c>
      <c r="G18" s="180"/>
    </row>
    <row r="19" spans="1:10" ht="30.75" customHeight="1" thickBot="1" x14ac:dyDescent="0.25">
      <c r="A19" s="179" t="s">
        <v>43</v>
      </c>
      <c r="B19" s="494" t="s">
        <v>550</v>
      </c>
      <c r="C19" s="495"/>
      <c r="D19" s="495"/>
      <c r="E19" s="695"/>
      <c r="F19" s="178" t="s">
        <v>549</v>
      </c>
      <c r="G19" s="177"/>
    </row>
    <row r="20" spans="1:10" s="9" customFormat="1" ht="14.25" thickTop="1" thickBot="1" x14ac:dyDescent="0.25">
      <c r="E20" s="10"/>
      <c r="F20" s="10"/>
      <c r="G20" s="10"/>
      <c r="H20" s="10"/>
      <c r="I20" s="10"/>
      <c r="J20" s="10"/>
    </row>
    <row r="21" spans="1:10" s="11" customFormat="1" ht="16.5" customHeight="1" thickBot="1" x14ac:dyDescent="0.25">
      <c r="A21" s="509" t="s">
        <v>606</v>
      </c>
      <c r="B21" s="510"/>
      <c r="C21" s="510"/>
      <c r="D21" s="510"/>
      <c r="E21" s="510"/>
      <c r="F21" s="710"/>
    </row>
    <row r="22" spans="1:10" s="4" customFormat="1" ht="23.25" customHeight="1" thickBot="1" x14ac:dyDescent="0.3">
      <c r="A22" s="175" t="s">
        <v>6</v>
      </c>
      <c r="B22" s="711" t="s">
        <v>512</v>
      </c>
      <c r="C22" s="712"/>
      <c r="D22" s="712"/>
      <c r="E22" s="713"/>
      <c r="F22" s="172" t="s">
        <v>184</v>
      </c>
    </row>
    <row r="23" spans="1:10" ht="57" customHeight="1" thickTop="1" thickBot="1" x14ac:dyDescent="0.25">
      <c r="A23" s="171" t="s">
        <v>42</v>
      </c>
      <c r="B23" s="599" t="s">
        <v>548</v>
      </c>
      <c r="C23" s="600"/>
      <c r="D23" s="600"/>
      <c r="E23" s="715"/>
      <c r="F23" s="168">
        <v>291705.59999999998</v>
      </c>
    </row>
    <row r="24" spans="1:10" ht="33.75" customHeight="1" x14ac:dyDescent="0.2">
      <c r="A24" s="164" t="s">
        <v>547</v>
      </c>
      <c r="B24" s="512" t="s">
        <v>546</v>
      </c>
      <c r="C24" s="513"/>
      <c r="D24" s="513"/>
      <c r="E24" s="716"/>
      <c r="F24" s="167">
        <v>5</v>
      </c>
    </row>
    <row r="25" spans="1:10" ht="26.25" thickBot="1" x14ac:dyDescent="0.25">
      <c r="A25" s="160" t="s">
        <v>545</v>
      </c>
      <c r="B25" s="703" t="s">
        <v>544</v>
      </c>
      <c r="C25" s="704"/>
      <c r="D25" s="704"/>
      <c r="E25" s="705"/>
      <c r="F25" s="159">
        <f>F24*F23</f>
        <v>1458528</v>
      </c>
    </row>
    <row r="26" spans="1:10" ht="109.5" customHeight="1" thickTop="1" thickBot="1" x14ac:dyDescent="0.25">
      <c r="A26" s="166" t="s">
        <v>513</v>
      </c>
      <c r="B26" s="720" t="s">
        <v>543</v>
      </c>
      <c r="C26" s="721"/>
      <c r="D26" s="721"/>
      <c r="E26" s="722"/>
      <c r="F26" s="165">
        <f>IF(I110="Enter Pricing in PART 4: Column H","Enter Pricing in PART 4: Column H",I110)</f>
        <v>13929.234799999998</v>
      </c>
    </row>
    <row r="27" spans="1:10" ht="26.25" customHeight="1" thickTop="1" x14ac:dyDescent="0.2">
      <c r="A27" s="164" t="s">
        <v>542</v>
      </c>
      <c r="B27" s="497" t="s">
        <v>541</v>
      </c>
      <c r="C27" s="498"/>
      <c r="D27" s="498"/>
      <c r="E27" s="699"/>
      <c r="F27" s="163">
        <v>8400</v>
      </c>
    </row>
    <row r="28" spans="1:10" ht="57" customHeight="1" x14ac:dyDescent="0.2">
      <c r="A28" s="162" t="s">
        <v>41</v>
      </c>
      <c r="B28" s="700" t="s">
        <v>540</v>
      </c>
      <c r="C28" s="701"/>
      <c r="D28" s="701"/>
      <c r="E28" s="702"/>
      <c r="F28" s="161">
        <v>20</v>
      </c>
    </row>
    <row r="29" spans="1:10" ht="26.25" thickBot="1" x14ac:dyDescent="0.25">
      <c r="A29" s="160" t="s">
        <v>539</v>
      </c>
      <c r="B29" s="703" t="s">
        <v>538</v>
      </c>
      <c r="C29" s="704"/>
      <c r="D29" s="704"/>
      <c r="E29" s="705"/>
      <c r="F29" s="159">
        <f>F27*F24*(1-(F28/100))</f>
        <v>33600</v>
      </c>
    </row>
    <row r="30" spans="1:10" ht="106.5" customHeight="1" thickTop="1" thickBot="1" x14ac:dyDescent="0.25">
      <c r="A30" s="158" t="s">
        <v>537</v>
      </c>
      <c r="B30" s="729" t="s">
        <v>536</v>
      </c>
      <c r="C30" s="730"/>
      <c r="D30" s="730"/>
      <c r="E30" s="731"/>
      <c r="F30" s="157">
        <f>IF(OR(F23="",F26="Enter Pricing in PART 4: Column H",F28=""),"No Bid",(F25+F26+F29))</f>
        <v>1506057.2348</v>
      </c>
    </row>
    <row r="31" spans="1:10" ht="13.5" thickTop="1" x14ac:dyDescent="0.2">
      <c r="A31" s="156"/>
      <c r="B31" s="1"/>
      <c r="C31" s="1"/>
      <c r="D31" s="1"/>
      <c r="E31" s="12"/>
    </row>
    <row r="32" spans="1:10" x14ac:dyDescent="0.2">
      <c r="A32" s="156"/>
      <c r="B32" s="1"/>
      <c r="C32" s="1"/>
      <c r="D32" s="1"/>
      <c r="E32" s="12"/>
    </row>
    <row r="33" spans="1:7" s="7" customFormat="1" ht="15.75" customHeight="1" thickBot="1" x14ac:dyDescent="0.25">
      <c r="A33" s="717" t="s">
        <v>603</v>
      </c>
      <c r="B33" s="717"/>
      <c r="C33" s="717"/>
      <c r="D33" s="717"/>
      <c r="E33" s="717"/>
      <c r="F33" s="717"/>
      <c r="G33" s="717"/>
    </row>
    <row r="34" spans="1:7" s="3" customFormat="1" ht="26.25" thickBot="1" x14ac:dyDescent="0.3">
      <c r="A34" s="53" t="s">
        <v>6</v>
      </c>
      <c r="B34" s="53" t="s">
        <v>7</v>
      </c>
      <c r="C34" s="539" t="s">
        <v>604</v>
      </c>
      <c r="D34" s="582"/>
      <c r="E34" s="154" t="s">
        <v>511</v>
      </c>
    </row>
    <row r="35" spans="1:7" s="13" customFormat="1" ht="39" thickBot="1" x14ac:dyDescent="0.3">
      <c r="A35" s="24" t="s">
        <v>8</v>
      </c>
      <c r="B35" s="24" t="s">
        <v>131</v>
      </c>
      <c r="C35" s="515" t="s">
        <v>118</v>
      </c>
      <c r="D35" s="685"/>
      <c r="E35" s="81">
        <v>14200</v>
      </c>
    </row>
    <row r="36" spans="1:7" s="13" customFormat="1" ht="15" customHeight="1" x14ac:dyDescent="0.25">
      <c r="A36" s="519" t="s">
        <v>21</v>
      </c>
      <c r="B36" s="519" t="s">
        <v>535</v>
      </c>
      <c r="C36" s="521" t="s">
        <v>67</v>
      </c>
      <c r="D36" s="718"/>
      <c r="E36" s="80">
        <v>4</v>
      </c>
    </row>
    <row r="37" spans="1:7" s="13" customFormat="1" ht="15.75" customHeight="1" thickBot="1" x14ac:dyDescent="0.3">
      <c r="A37" s="520"/>
      <c r="B37" s="520"/>
      <c r="C37" s="515" t="s">
        <v>68</v>
      </c>
      <c r="D37" s="685"/>
      <c r="E37" s="81">
        <v>24</v>
      </c>
    </row>
    <row r="38" spans="1:7" s="13" customFormat="1" ht="15.75" customHeight="1" thickBot="1" x14ac:dyDescent="0.3">
      <c r="A38" s="25" t="s">
        <v>123</v>
      </c>
      <c r="B38" s="25" t="s">
        <v>108</v>
      </c>
      <c r="C38" s="531"/>
      <c r="D38" s="686"/>
      <c r="E38" s="82"/>
    </row>
    <row r="39" spans="1:7" s="13" customFormat="1" ht="15" customHeight="1" x14ac:dyDescent="0.25">
      <c r="A39" s="519" t="s">
        <v>59</v>
      </c>
      <c r="B39" s="519"/>
      <c r="C39" s="521" t="s">
        <v>58</v>
      </c>
      <c r="D39" s="718"/>
      <c r="E39" s="80">
        <v>159</v>
      </c>
    </row>
    <row r="40" spans="1:7" s="13" customFormat="1" ht="15" customHeight="1" x14ac:dyDescent="0.25">
      <c r="A40" s="526"/>
      <c r="B40" s="526"/>
      <c r="C40" s="527" t="s">
        <v>57</v>
      </c>
      <c r="D40" s="683"/>
      <c r="E40" s="83">
        <v>266.5</v>
      </c>
    </row>
    <row r="41" spans="1:7" s="13" customFormat="1" ht="15" customHeight="1" x14ac:dyDescent="0.25">
      <c r="A41" s="526"/>
      <c r="B41" s="526"/>
      <c r="C41" s="527" t="s">
        <v>69</v>
      </c>
      <c r="D41" s="683"/>
      <c r="E41" s="83">
        <v>90</v>
      </c>
    </row>
    <row r="42" spans="1:7" s="13" customFormat="1" ht="15" customHeight="1" x14ac:dyDescent="0.25">
      <c r="A42" s="526"/>
      <c r="B42" s="526"/>
      <c r="C42" s="529" t="s">
        <v>70</v>
      </c>
      <c r="D42" s="684"/>
      <c r="E42" s="83">
        <v>73</v>
      </c>
    </row>
    <row r="43" spans="1:7" s="13" customFormat="1" ht="15.75" customHeight="1" thickBot="1" x14ac:dyDescent="0.3">
      <c r="A43" s="520"/>
      <c r="B43" s="520"/>
      <c r="C43" s="515" t="s">
        <v>111</v>
      </c>
      <c r="D43" s="685"/>
      <c r="E43" s="81">
        <v>94.1</v>
      </c>
    </row>
    <row r="44" spans="1:7" s="13" customFormat="1" ht="15" customHeight="1" x14ac:dyDescent="0.25">
      <c r="A44" s="519" t="s">
        <v>11</v>
      </c>
      <c r="B44" s="519"/>
      <c r="C44" s="521" t="s">
        <v>24</v>
      </c>
      <c r="D44" s="718"/>
      <c r="E44" s="80">
        <v>4600</v>
      </c>
    </row>
    <row r="45" spans="1:7" s="13" customFormat="1" ht="15.75" customHeight="1" thickBot="1" x14ac:dyDescent="0.3">
      <c r="A45" s="520"/>
      <c r="B45" s="520"/>
      <c r="C45" s="515" t="s">
        <v>22</v>
      </c>
      <c r="D45" s="685"/>
      <c r="E45" s="81">
        <v>4600</v>
      </c>
    </row>
    <row r="46" spans="1:7" s="13" customFormat="1" ht="15" customHeight="1" x14ac:dyDescent="0.25">
      <c r="A46" s="519" t="s">
        <v>16</v>
      </c>
      <c r="B46" s="519"/>
      <c r="C46" s="521" t="s">
        <v>24</v>
      </c>
      <c r="D46" s="718"/>
      <c r="E46" s="80">
        <v>9600</v>
      </c>
    </row>
    <row r="47" spans="1:7" s="13" customFormat="1" ht="15.75" customHeight="1" thickBot="1" x14ac:dyDescent="0.3">
      <c r="A47" s="520"/>
      <c r="B47" s="520"/>
      <c r="C47" s="523" t="s">
        <v>23</v>
      </c>
      <c r="D47" s="719"/>
      <c r="E47" s="81">
        <v>9600</v>
      </c>
    </row>
    <row r="48" spans="1:7" s="13" customFormat="1" ht="15.75" customHeight="1" thickBot="1" x14ac:dyDescent="0.3">
      <c r="A48" s="25" t="s">
        <v>52</v>
      </c>
      <c r="B48" s="25" t="s">
        <v>53</v>
      </c>
      <c r="C48" s="531"/>
      <c r="D48" s="686"/>
      <c r="E48" s="82"/>
    </row>
    <row r="49" spans="1:5" s="13" customFormat="1" ht="30" customHeight="1" thickBot="1" x14ac:dyDescent="0.3">
      <c r="A49" s="542" t="s">
        <v>12</v>
      </c>
      <c r="B49" s="542" t="s">
        <v>142</v>
      </c>
      <c r="C49" s="521" t="s">
        <v>205</v>
      </c>
      <c r="D49" s="718"/>
      <c r="E49" s="80" t="s">
        <v>368</v>
      </c>
    </row>
    <row r="50" spans="1:5" s="13" customFormat="1" ht="30" customHeight="1" thickBot="1" x14ac:dyDescent="0.3">
      <c r="A50" s="542"/>
      <c r="B50" s="542"/>
      <c r="C50" s="527" t="s">
        <v>518</v>
      </c>
      <c r="D50" s="683"/>
      <c r="E50" s="83">
        <v>2335</v>
      </c>
    </row>
    <row r="51" spans="1:5" s="13" customFormat="1" ht="30" customHeight="1" thickBot="1" x14ac:dyDescent="0.3">
      <c r="A51" s="542"/>
      <c r="B51" s="542"/>
      <c r="C51" s="527" t="s">
        <v>203</v>
      </c>
      <c r="D51" s="683"/>
      <c r="E51" s="87" t="s">
        <v>368</v>
      </c>
    </row>
    <row r="52" spans="1:5" s="13" customFormat="1" ht="30" customHeight="1" thickBot="1" x14ac:dyDescent="0.3">
      <c r="A52" s="542"/>
      <c r="B52" s="542"/>
      <c r="C52" s="527" t="s">
        <v>534</v>
      </c>
      <c r="D52" s="683"/>
      <c r="E52" s="83">
        <v>2470</v>
      </c>
    </row>
    <row r="53" spans="1:5" s="13" customFormat="1" ht="15.75" customHeight="1" thickBot="1" x14ac:dyDescent="0.3">
      <c r="A53" s="542"/>
      <c r="B53" s="542"/>
      <c r="C53" s="527" t="s">
        <v>112</v>
      </c>
      <c r="D53" s="683"/>
      <c r="E53" s="83" t="s">
        <v>308</v>
      </c>
    </row>
    <row r="54" spans="1:5" s="13" customFormat="1" ht="15.75" customHeight="1" thickBot="1" x14ac:dyDescent="0.3">
      <c r="A54" s="542"/>
      <c r="B54" s="542"/>
      <c r="C54" s="527" t="s">
        <v>113</v>
      </c>
      <c r="D54" s="683"/>
      <c r="E54" s="83" t="s">
        <v>340</v>
      </c>
    </row>
    <row r="55" spans="1:5" s="13" customFormat="1" ht="15.75" customHeight="1" thickBot="1" x14ac:dyDescent="0.3">
      <c r="A55" s="542"/>
      <c r="B55" s="542"/>
      <c r="C55" s="529" t="s">
        <v>114</v>
      </c>
      <c r="D55" s="684"/>
      <c r="E55" s="83" t="s">
        <v>380</v>
      </c>
    </row>
    <row r="56" spans="1:5" s="13" customFormat="1" ht="15.75" customHeight="1" thickBot="1" x14ac:dyDescent="0.3">
      <c r="A56" s="542"/>
      <c r="B56" s="542"/>
      <c r="C56" s="515" t="s">
        <v>115</v>
      </c>
      <c r="D56" s="685"/>
      <c r="E56" s="81" t="s">
        <v>340</v>
      </c>
    </row>
    <row r="57" spans="1:5" s="13" customFormat="1" ht="15" customHeight="1" x14ac:dyDescent="0.25">
      <c r="A57" s="519" t="s">
        <v>10</v>
      </c>
      <c r="B57" s="519" t="s">
        <v>62</v>
      </c>
      <c r="C57" s="521" t="s">
        <v>116</v>
      </c>
      <c r="D57" s="718"/>
      <c r="E57" s="80">
        <v>1</v>
      </c>
    </row>
    <row r="58" spans="1:5" s="13" customFormat="1" ht="15" customHeight="1" x14ac:dyDescent="0.25">
      <c r="A58" s="526"/>
      <c r="B58" s="526"/>
      <c r="C58" s="527" t="s">
        <v>117</v>
      </c>
      <c r="D58" s="683"/>
      <c r="E58" s="83" t="s">
        <v>197</v>
      </c>
    </row>
    <row r="59" spans="1:5" s="13" customFormat="1" ht="15.75" customHeight="1" thickBot="1" x14ac:dyDescent="0.3">
      <c r="A59" s="526"/>
      <c r="B59" s="526"/>
      <c r="C59" s="523" t="s">
        <v>71</v>
      </c>
      <c r="D59" s="719"/>
      <c r="E59" s="89" t="s">
        <v>533</v>
      </c>
    </row>
    <row r="60" spans="1:5" s="13" customFormat="1" ht="42.75" customHeight="1" thickBot="1" x14ac:dyDescent="0.3">
      <c r="A60" s="23" t="s">
        <v>185</v>
      </c>
      <c r="B60" s="23" t="s">
        <v>186</v>
      </c>
      <c r="C60" s="543" t="s">
        <v>187</v>
      </c>
      <c r="D60" s="690"/>
      <c r="E60" s="80">
        <v>113</v>
      </c>
    </row>
    <row r="61" spans="1:5" s="13" customFormat="1" ht="15" customHeight="1" x14ac:dyDescent="0.25">
      <c r="A61" s="519" t="s">
        <v>26</v>
      </c>
      <c r="B61" s="519" t="s">
        <v>532</v>
      </c>
      <c r="C61" s="529" t="s">
        <v>188</v>
      </c>
      <c r="D61" s="684"/>
      <c r="E61" s="80">
        <v>1</v>
      </c>
    </row>
    <row r="62" spans="1:5" s="13" customFormat="1" ht="15" customHeight="1" x14ac:dyDescent="0.25">
      <c r="A62" s="526"/>
      <c r="B62" s="526"/>
      <c r="C62" s="527" t="s">
        <v>189</v>
      </c>
      <c r="D62" s="683"/>
      <c r="E62" s="83" t="s">
        <v>531</v>
      </c>
    </row>
    <row r="63" spans="1:5" s="13" customFormat="1" ht="15.75" customHeight="1" thickBot="1" x14ac:dyDescent="0.3">
      <c r="A63" s="520"/>
      <c r="B63" s="520"/>
      <c r="C63" s="523" t="s">
        <v>190</v>
      </c>
      <c r="D63" s="719"/>
      <c r="E63" s="81">
        <v>240</v>
      </c>
    </row>
    <row r="64" spans="1:5" s="13" customFormat="1" ht="15.75" customHeight="1" thickBot="1" x14ac:dyDescent="0.3">
      <c r="A64" s="25" t="s">
        <v>44</v>
      </c>
      <c r="B64" s="25" t="s">
        <v>530</v>
      </c>
      <c r="C64" s="531"/>
      <c r="D64" s="686"/>
      <c r="E64" s="88"/>
    </row>
    <row r="65" spans="1:10" s="13" customFormat="1" ht="31.5" customHeight="1" thickBot="1" x14ac:dyDescent="0.3">
      <c r="A65" s="25" t="s">
        <v>44</v>
      </c>
      <c r="B65" s="25" t="s">
        <v>63</v>
      </c>
      <c r="C65" s="531"/>
      <c r="D65" s="686"/>
      <c r="E65" s="88"/>
    </row>
    <row r="66" spans="1:10" s="13" customFormat="1" ht="26.25" thickBot="1" x14ac:dyDescent="0.3">
      <c r="A66" s="25" t="s">
        <v>44</v>
      </c>
      <c r="B66" s="25" t="s">
        <v>64</v>
      </c>
      <c r="C66" s="531"/>
      <c r="D66" s="686"/>
      <c r="E66" s="88"/>
    </row>
    <row r="67" spans="1:10" s="13" customFormat="1" ht="15.75" customHeight="1" thickBot="1" x14ac:dyDescent="0.3">
      <c r="A67" s="25" t="s">
        <v>50</v>
      </c>
      <c r="B67" s="25" t="s">
        <v>65</v>
      </c>
      <c r="C67" s="531"/>
      <c r="D67" s="686"/>
      <c r="E67" s="88"/>
    </row>
    <row r="68" spans="1:10" s="13" customFormat="1" ht="15.75" customHeight="1" thickBot="1" x14ac:dyDescent="0.3">
      <c r="A68" s="25" t="s">
        <v>27</v>
      </c>
      <c r="B68" s="25"/>
      <c r="C68" s="543" t="s">
        <v>77</v>
      </c>
      <c r="D68" s="690"/>
      <c r="E68" s="82" t="s">
        <v>346</v>
      </c>
    </row>
    <row r="69" spans="1:10" s="13" customFormat="1" ht="31.5" customHeight="1" thickBot="1" x14ac:dyDescent="0.3">
      <c r="A69" s="25" t="s">
        <v>51</v>
      </c>
      <c r="B69" s="25" t="s">
        <v>79</v>
      </c>
      <c r="C69" s="531"/>
      <c r="D69" s="686"/>
      <c r="E69" s="82"/>
    </row>
    <row r="70" spans="1:10" s="13" customFormat="1" ht="42" customHeight="1" thickBot="1" x14ac:dyDescent="0.3">
      <c r="A70" s="25" t="s">
        <v>54</v>
      </c>
      <c r="B70" s="25" t="s">
        <v>80</v>
      </c>
      <c r="C70" s="531"/>
      <c r="D70" s="686"/>
      <c r="E70" s="82"/>
    </row>
    <row r="71" spans="1:10" s="13" customFormat="1" ht="39" thickBot="1" x14ac:dyDescent="0.3">
      <c r="A71" s="25" t="s">
        <v>29</v>
      </c>
      <c r="B71" s="25" t="s">
        <v>529</v>
      </c>
      <c r="C71" s="531"/>
      <c r="D71" s="686"/>
      <c r="E71" s="82"/>
    </row>
    <row r="72" spans="1:10" s="13" customFormat="1" ht="41.25" customHeight="1" thickBot="1" x14ac:dyDescent="0.3">
      <c r="A72" s="25" t="s">
        <v>31</v>
      </c>
      <c r="B72" s="25" t="s">
        <v>94</v>
      </c>
      <c r="C72" s="543" t="s">
        <v>30</v>
      </c>
      <c r="D72" s="690"/>
      <c r="E72" s="82" t="s">
        <v>347</v>
      </c>
    </row>
    <row r="73" spans="1:10" s="13" customFormat="1" ht="26.25" thickBot="1" x14ac:dyDescent="0.3">
      <c r="A73" s="25" t="s">
        <v>55</v>
      </c>
      <c r="B73" s="25" t="s">
        <v>95</v>
      </c>
      <c r="C73" s="531"/>
      <c r="D73" s="686"/>
      <c r="E73" s="82" t="s">
        <v>453</v>
      </c>
    </row>
    <row r="74" spans="1:10" s="13" customFormat="1" ht="26.25" thickBot="1" x14ac:dyDescent="0.3">
      <c r="A74" s="25" t="s">
        <v>32</v>
      </c>
      <c r="B74" s="25" t="s">
        <v>96</v>
      </c>
      <c r="C74" s="543" t="s">
        <v>30</v>
      </c>
      <c r="D74" s="690"/>
      <c r="E74" s="82" t="s">
        <v>348</v>
      </c>
    </row>
    <row r="75" spans="1:10" s="13" customFormat="1" ht="39" thickBot="1" x14ac:dyDescent="0.3">
      <c r="A75" s="25" t="s">
        <v>56</v>
      </c>
      <c r="B75" s="25" t="s">
        <v>528</v>
      </c>
      <c r="C75" s="531"/>
      <c r="D75" s="686"/>
      <c r="E75" s="82"/>
    </row>
    <row r="76" spans="1:10" s="13" customFormat="1" ht="30" customHeight="1" thickBot="1" x14ac:dyDescent="0.3">
      <c r="A76" s="25" t="s">
        <v>48</v>
      </c>
      <c r="B76" s="25" t="s">
        <v>527</v>
      </c>
      <c r="C76" s="531"/>
      <c r="D76" s="686"/>
      <c r="E76" s="82"/>
    </row>
    <row r="77" spans="1:10" s="13" customFormat="1" ht="41.45" customHeight="1" thickBot="1" x14ac:dyDescent="0.3">
      <c r="A77" s="25" t="s">
        <v>49</v>
      </c>
      <c r="B77" s="25" t="s">
        <v>103</v>
      </c>
      <c r="C77" s="531" t="s">
        <v>526</v>
      </c>
      <c r="D77" s="686"/>
      <c r="E77" s="82" t="s">
        <v>525</v>
      </c>
    </row>
    <row r="78" spans="1:10" s="13" customFormat="1" ht="26.25" thickBot="1" x14ac:dyDescent="0.3">
      <c r="A78" s="25" t="s">
        <v>46</v>
      </c>
      <c r="B78" s="25" t="s">
        <v>81</v>
      </c>
      <c r="C78" s="531"/>
      <c r="D78" s="686"/>
      <c r="E78" s="82"/>
    </row>
    <row r="79" spans="1:10" ht="13.5" thickBot="1" x14ac:dyDescent="0.25"/>
    <row r="80" spans="1:10" s="16" customFormat="1" ht="18" customHeight="1" thickBot="1" x14ac:dyDescent="0.3">
      <c r="A80" s="620" t="s">
        <v>607</v>
      </c>
      <c r="B80" s="537"/>
      <c r="C80" s="537"/>
      <c r="D80" s="537"/>
      <c r="E80" s="537"/>
      <c r="F80" s="537"/>
      <c r="G80" s="537"/>
      <c r="H80" s="537"/>
      <c r="I80" s="537"/>
      <c r="J80" s="734"/>
    </row>
    <row r="81" spans="1:8" s="3" customFormat="1" ht="25.5" x14ac:dyDescent="0.25">
      <c r="A81" s="19" t="s">
        <v>33</v>
      </c>
      <c r="B81" s="19" t="s">
        <v>7</v>
      </c>
      <c r="C81" s="732" t="s">
        <v>604</v>
      </c>
      <c r="D81" s="732"/>
      <c r="E81" s="19" t="s">
        <v>511</v>
      </c>
      <c r="F81" s="19" t="s">
        <v>509</v>
      </c>
      <c r="G81" s="19" t="s">
        <v>524</v>
      </c>
      <c r="H81" s="19" t="s">
        <v>523</v>
      </c>
    </row>
    <row r="82" spans="1:8" s="13" customFormat="1" ht="42.75" customHeight="1" thickBot="1" x14ac:dyDescent="0.3">
      <c r="A82" s="18" t="s">
        <v>83</v>
      </c>
      <c r="B82" s="18" t="s">
        <v>146</v>
      </c>
      <c r="C82" s="562"/>
      <c r="D82" s="733"/>
      <c r="E82" s="81"/>
      <c r="F82" s="125">
        <v>-1088.78</v>
      </c>
      <c r="G82" s="142">
        <v>7.0000000000000007E-2</v>
      </c>
      <c r="H82" s="151">
        <f>IF(F82=0," 'Enter Pricing in Column H'",(F82*G82))</f>
        <v>-76.214600000000004</v>
      </c>
    </row>
    <row r="83" spans="1:8" s="13" customFormat="1" ht="27.75" customHeight="1" thickBot="1" x14ac:dyDescent="0.3">
      <c r="A83" s="25" t="s">
        <v>34</v>
      </c>
      <c r="B83" s="25" t="s">
        <v>522</v>
      </c>
      <c r="C83" s="543" t="s">
        <v>30</v>
      </c>
      <c r="D83" s="690"/>
      <c r="E83" s="82" t="s">
        <v>349</v>
      </c>
      <c r="F83" s="139">
        <v>573.5</v>
      </c>
      <c r="G83" s="142">
        <v>0.46</v>
      </c>
      <c r="H83" s="151">
        <f>IF(F83=0," 'Enter Pricing in Column H'",(F83*G83))</f>
        <v>263.81</v>
      </c>
    </row>
    <row r="84" spans="1:8" s="13" customFormat="1" ht="39" thickBot="1" x14ac:dyDescent="0.3">
      <c r="A84" s="25" t="s">
        <v>35</v>
      </c>
      <c r="B84" s="25" t="s">
        <v>97</v>
      </c>
      <c r="C84" s="531"/>
      <c r="D84" s="686"/>
      <c r="E84" s="82"/>
      <c r="F84" s="139">
        <v>281.36</v>
      </c>
      <c r="G84" s="142">
        <v>0.72</v>
      </c>
      <c r="H84" s="151">
        <f>IF(F84=0," 'Enter Pricing in Column H'",(F84*G84))</f>
        <v>202.57920000000001</v>
      </c>
    </row>
    <row r="85" spans="1:8" s="13" customFormat="1" ht="39" thickBot="1" x14ac:dyDescent="0.3">
      <c r="A85" s="25" t="s">
        <v>36</v>
      </c>
      <c r="B85" s="25" t="s">
        <v>521</v>
      </c>
      <c r="C85" s="543" t="s">
        <v>99</v>
      </c>
      <c r="D85" s="690"/>
      <c r="E85" s="82" t="s">
        <v>384</v>
      </c>
      <c r="F85" s="139">
        <v>312.62</v>
      </c>
      <c r="G85" s="142">
        <v>7.0000000000000007E-2</v>
      </c>
      <c r="H85" s="151">
        <f>IF(F85=0," 'Enter Pricing in Column H'",(F85*G85))</f>
        <v>21.883400000000002</v>
      </c>
    </row>
    <row r="86" spans="1:8" s="13" customFormat="1" ht="53.25" customHeight="1" x14ac:dyDescent="0.25">
      <c r="A86" s="519" t="s">
        <v>60</v>
      </c>
      <c r="B86" s="519" t="s">
        <v>520</v>
      </c>
      <c r="C86" s="521" t="s">
        <v>203</v>
      </c>
      <c r="D86" s="718"/>
      <c r="E86" s="80" t="s">
        <v>368</v>
      </c>
      <c r="F86" s="647">
        <v>1170.71</v>
      </c>
      <c r="G86" s="691">
        <v>7.0000000000000007E-2</v>
      </c>
      <c r="H86" s="687">
        <f>IF(F86=0," 'Enter Pricing in Column H'",(F86*G86))</f>
        <v>81.949700000000007</v>
      </c>
    </row>
    <row r="87" spans="1:8" s="13" customFormat="1" ht="27.75" customHeight="1" x14ac:dyDescent="0.25">
      <c r="A87" s="526"/>
      <c r="B87" s="526"/>
      <c r="C87" s="527" t="s">
        <v>517</v>
      </c>
      <c r="D87" s="683"/>
      <c r="E87" s="83">
        <v>2470</v>
      </c>
      <c r="F87" s="649"/>
      <c r="G87" s="692"/>
      <c r="H87" s="688"/>
    </row>
    <row r="88" spans="1:8" s="13" customFormat="1" ht="15" customHeight="1" x14ac:dyDescent="0.25">
      <c r="A88" s="526"/>
      <c r="B88" s="526"/>
      <c r="C88" s="527" t="s">
        <v>114</v>
      </c>
      <c r="D88" s="683"/>
      <c r="E88" s="83" t="s">
        <v>352</v>
      </c>
      <c r="F88" s="649"/>
      <c r="G88" s="692"/>
      <c r="H88" s="688"/>
    </row>
    <row r="89" spans="1:8" s="13" customFormat="1" ht="15.75" customHeight="1" thickBot="1" x14ac:dyDescent="0.3">
      <c r="A89" s="520"/>
      <c r="B89" s="520"/>
      <c r="C89" s="515" t="s">
        <v>115</v>
      </c>
      <c r="D89" s="685"/>
      <c r="E89" s="81" t="s">
        <v>353</v>
      </c>
      <c r="F89" s="648"/>
      <c r="G89" s="693"/>
      <c r="H89" s="689"/>
    </row>
    <row r="90" spans="1:8" s="13" customFormat="1" ht="51.75" customHeight="1" x14ac:dyDescent="0.25">
      <c r="A90" s="519" t="s">
        <v>61</v>
      </c>
      <c r="B90" s="519" t="s">
        <v>519</v>
      </c>
      <c r="C90" s="521" t="s">
        <v>205</v>
      </c>
      <c r="D90" s="718"/>
      <c r="E90" s="80" t="s">
        <v>368</v>
      </c>
      <c r="F90" s="647">
        <v>1642.87</v>
      </c>
      <c r="G90" s="691">
        <v>7.0000000000000007E-2</v>
      </c>
      <c r="H90" s="687">
        <f>IF(F90=0," 'Enter Pricing in Column H'",(F90*G90))</f>
        <v>115.0009</v>
      </c>
    </row>
    <row r="91" spans="1:8" s="13" customFormat="1" ht="29.25" customHeight="1" x14ac:dyDescent="0.25">
      <c r="A91" s="526"/>
      <c r="B91" s="526"/>
      <c r="C91" s="527" t="s">
        <v>518</v>
      </c>
      <c r="D91" s="683"/>
      <c r="E91" s="87">
        <v>2680</v>
      </c>
      <c r="F91" s="649"/>
      <c r="G91" s="692"/>
      <c r="H91" s="688"/>
    </row>
    <row r="92" spans="1:8" s="13" customFormat="1" ht="52.5" customHeight="1" x14ac:dyDescent="0.25">
      <c r="A92" s="526"/>
      <c r="B92" s="526"/>
      <c r="C92" s="527" t="s">
        <v>203</v>
      </c>
      <c r="D92" s="683"/>
      <c r="E92" s="87" t="s">
        <v>368</v>
      </c>
      <c r="F92" s="649"/>
      <c r="G92" s="692"/>
      <c r="H92" s="688"/>
    </row>
    <row r="93" spans="1:8" s="13" customFormat="1" ht="29.25" customHeight="1" x14ac:dyDescent="0.25">
      <c r="A93" s="526"/>
      <c r="B93" s="526"/>
      <c r="C93" s="527" t="s">
        <v>517</v>
      </c>
      <c r="D93" s="683"/>
      <c r="E93" s="83">
        <v>2470</v>
      </c>
      <c r="F93" s="649"/>
      <c r="G93" s="692"/>
      <c r="H93" s="688"/>
    </row>
    <row r="94" spans="1:8" s="13" customFormat="1" ht="15" customHeight="1" x14ac:dyDescent="0.25">
      <c r="A94" s="526"/>
      <c r="B94" s="526"/>
      <c r="C94" s="527" t="s">
        <v>112</v>
      </c>
      <c r="D94" s="683"/>
      <c r="E94" s="83" t="s">
        <v>308</v>
      </c>
      <c r="F94" s="649"/>
      <c r="G94" s="692"/>
      <c r="H94" s="688"/>
    </row>
    <row r="95" spans="1:8" s="13" customFormat="1" ht="15" customHeight="1" x14ac:dyDescent="0.25">
      <c r="A95" s="526"/>
      <c r="B95" s="526"/>
      <c r="C95" s="527" t="s">
        <v>113</v>
      </c>
      <c r="D95" s="683"/>
      <c r="E95" s="87" t="s">
        <v>356</v>
      </c>
      <c r="F95" s="649"/>
      <c r="G95" s="692"/>
      <c r="H95" s="688"/>
    </row>
    <row r="96" spans="1:8" s="13" customFormat="1" ht="15" customHeight="1" x14ac:dyDescent="0.25">
      <c r="A96" s="526"/>
      <c r="B96" s="526"/>
      <c r="C96" s="527" t="s">
        <v>114</v>
      </c>
      <c r="D96" s="683"/>
      <c r="E96" s="87" t="s">
        <v>380</v>
      </c>
      <c r="F96" s="649"/>
      <c r="G96" s="692"/>
      <c r="H96" s="688"/>
    </row>
    <row r="97" spans="1:10" s="13" customFormat="1" ht="15.75" customHeight="1" thickBot="1" x14ac:dyDescent="0.3">
      <c r="A97" s="520"/>
      <c r="B97" s="520"/>
      <c r="C97" s="515" t="s">
        <v>115</v>
      </c>
      <c r="D97" s="685"/>
      <c r="E97" s="81" t="s">
        <v>356</v>
      </c>
      <c r="F97" s="648"/>
      <c r="G97" s="693"/>
      <c r="H97" s="689"/>
    </row>
    <row r="98" spans="1:10" s="13" customFormat="1" ht="131.25" customHeight="1" thickBot="1" x14ac:dyDescent="0.3">
      <c r="A98" s="17" t="s">
        <v>86</v>
      </c>
      <c r="B98" s="17" t="s">
        <v>143</v>
      </c>
      <c r="C98" s="543" t="s">
        <v>104</v>
      </c>
      <c r="D98" s="690"/>
      <c r="E98" s="80" t="s">
        <v>357</v>
      </c>
      <c r="F98" s="139">
        <v>922.77</v>
      </c>
      <c r="G98" s="138">
        <v>0.26</v>
      </c>
      <c r="H98" s="137">
        <f>IF(F98=0," 'Enter Pricing in Column H'",(F98*G98))</f>
        <v>239.92019999999999</v>
      </c>
    </row>
    <row r="99" spans="1:10" ht="50.65" customHeight="1" x14ac:dyDescent="0.2">
      <c r="A99" s="519" t="s">
        <v>13</v>
      </c>
      <c r="B99" s="519" t="s">
        <v>98</v>
      </c>
      <c r="C99" s="521" t="s">
        <v>30</v>
      </c>
      <c r="D99" s="718"/>
      <c r="E99" s="80" t="s">
        <v>358</v>
      </c>
      <c r="F99" s="647">
        <v>11643.48</v>
      </c>
      <c r="G99" s="691">
        <v>0.33</v>
      </c>
      <c r="H99" s="687">
        <f>IF(F99=0," 'Enter Pricing in Column H'",(F99*G99))</f>
        <v>3842.3483999999999</v>
      </c>
    </row>
    <row r="100" spans="1:10" ht="18" customHeight="1" thickBot="1" x14ac:dyDescent="0.25">
      <c r="A100" s="520"/>
      <c r="B100" s="520"/>
      <c r="C100" s="515" t="s">
        <v>109</v>
      </c>
      <c r="D100" s="685"/>
      <c r="E100" s="81" t="s">
        <v>359</v>
      </c>
      <c r="F100" s="648"/>
      <c r="G100" s="693"/>
      <c r="H100" s="726"/>
    </row>
    <row r="101" spans="1:10" ht="64.5" thickBot="1" x14ac:dyDescent="0.25">
      <c r="A101" s="25" t="s">
        <v>37</v>
      </c>
      <c r="B101" s="25" t="s">
        <v>135</v>
      </c>
      <c r="C101" s="531" t="s">
        <v>516</v>
      </c>
      <c r="D101" s="686"/>
      <c r="E101" s="81" t="s">
        <v>375</v>
      </c>
      <c r="F101" s="125">
        <v>539</v>
      </c>
      <c r="G101" s="138">
        <v>0.72</v>
      </c>
      <c r="H101" s="137">
        <f t="shared" ref="H101:H106" si="0">IF(F101=0," 'Enter Pricing in Column H'",(F101*G101))</f>
        <v>388.08</v>
      </c>
    </row>
    <row r="102" spans="1:10" ht="26.25" thickBot="1" x14ac:dyDescent="0.25">
      <c r="A102" s="25" t="s">
        <v>38</v>
      </c>
      <c r="B102" s="25" t="s">
        <v>87</v>
      </c>
      <c r="C102" s="531"/>
      <c r="D102" s="686"/>
      <c r="E102" s="82"/>
      <c r="F102" s="139">
        <v>713.64</v>
      </c>
      <c r="G102" s="138">
        <v>0.92</v>
      </c>
      <c r="H102" s="137">
        <f t="shared" si="0"/>
        <v>656.54880000000003</v>
      </c>
    </row>
    <row r="103" spans="1:10" ht="26.25" thickBot="1" x14ac:dyDescent="0.25">
      <c r="A103" s="25" t="s">
        <v>39</v>
      </c>
      <c r="B103" s="25" t="s">
        <v>106</v>
      </c>
      <c r="C103" s="543" t="s">
        <v>105</v>
      </c>
      <c r="D103" s="690"/>
      <c r="E103" s="82" t="s">
        <v>207</v>
      </c>
      <c r="F103" s="139">
        <v>950.8</v>
      </c>
      <c r="G103" s="138">
        <v>0.13</v>
      </c>
      <c r="H103" s="137">
        <f t="shared" si="0"/>
        <v>123.604</v>
      </c>
    </row>
    <row r="104" spans="1:10" ht="44.45" customHeight="1" thickBot="1" x14ac:dyDescent="0.25">
      <c r="A104" s="25" t="s">
        <v>90</v>
      </c>
      <c r="B104" s="25" t="s">
        <v>129</v>
      </c>
      <c r="C104" s="531" t="s">
        <v>515</v>
      </c>
      <c r="D104" s="686"/>
      <c r="E104" s="82" t="s">
        <v>454</v>
      </c>
      <c r="F104" s="139">
        <v>425.67</v>
      </c>
      <c r="G104" s="138">
        <v>1.32</v>
      </c>
      <c r="H104" s="137">
        <f t="shared" si="0"/>
        <v>561.88440000000003</v>
      </c>
    </row>
    <row r="105" spans="1:10" ht="43.5" customHeight="1" thickBot="1" x14ac:dyDescent="0.25">
      <c r="A105" s="25" t="s">
        <v>40</v>
      </c>
      <c r="B105" s="25" t="s">
        <v>137</v>
      </c>
      <c r="C105" s="543" t="s">
        <v>100</v>
      </c>
      <c r="D105" s="690"/>
      <c r="E105" s="147" t="s">
        <v>360</v>
      </c>
      <c r="F105" s="140">
        <v>219.91</v>
      </c>
      <c r="G105" s="145">
        <v>0.13</v>
      </c>
      <c r="H105" s="137">
        <f t="shared" si="0"/>
        <v>28.5883</v>
      </c>
    </row>
    <row r="106" spans="1:10" ht="40.15" customHeight="1" thickBot="1" x14ac:dyDescent="0.25">
      <c r="A106" s="519" t="s">
        <v>14</v>
      </c>
      <c r="B106" s="519" t="s">
        <v>138</v>
      </c>
      <c r="C106" s="543" t="s">
        <v>139</v>
      </c>
      <c r="D106" s="635"/>
      <c r="E106" s="681" t="s">
        <v>514</v>
      </c>
      <c r="F106" s="727">
        <v>13357.5</v>
      </c>
      <c r="G106" s="145">
        <v>0.53</v>
      </c>
      <c r="H106" s="687">
        <f t="shared" si="0"/>
        <v>7079.4750000000004</v>
      </c>
    </row>
    <row r="107" spans="1:10" ht="57" customHeight="1" thickBot="1" x14ac:dyDescent="0.25">
      <c r="A107" s="520"/>
      <c r="B107" s="520"/>
      <c r="C107" s="543" t="s">
        <v>274</v>
      </c>
      <c r="D107" s="635"/>
      <c r="E107" s="682"/>
      <c r="F107" s="728"/>
      <c r="G107" s="142"/>
      <c r="H107" s="689"/>
    </row>
    <row r="108" spans="1:10" ht="68.25" customHeight="1" thickBot="1" x14ac:dyDescent="0.25">
      <c r="A108" s="25" t="s">
        <v>91</v>
      </c>
      <c r="B108" s="25" t="s">
        <v>144</v>
      </c>
      <c r="C108" s="543" t="s">
        <v>100</v>
      </c>
      <c r="D108" s="690"/>
      <c r="E108" s="141" t="s">
        <v>361</v>
      </c>
      <c r="F108" s="140">
        <v>2124.7399999999998</v>
      </c>
      <c r="G108" s="138">
        <v>0.26</v>
      </c>
      <c r="H108" s="137">
        <f>IF(F108=0," 'Enter Pricing in Column H'",(F108*G108))</f>
        <v>552.43239999999992</v>
      </c>
    </row>
    <row r="109" spans="1:10" ht="51.75" thickBot="1" x14ac:dyDescent="0.25">
      <c r="A109" s="25" t="s">
        <v>92</v>
      </c>
      <c r="B109" s="25" t="s">
        <v>145</v>
      </c>
      <c r="C109" s="531"/>
      <c r="D109" s="686"/>
      <c r="E109" s="82"/>
      <c r="F109" s="139">
        <v>-2180.79</v>
      </c>
      <c r="G109" s="138">
        <v>7.0000000000000007E-2</v>
      </c>
      <c r="H109" s="137">
        <f>IF(F109=0," 'Enter Pricing in Column H'",(F109*G109))</f>
        <v>-152.65530000000001</v>
      </c>
    </row>
    <row r="110" spans="1:10" ht="42.75" customHeight="1" thickBot="1" x14ac:dyDescent="0.25">
      <c r="F110" s="723" t="s">
        <v>513</v>
      </c>
      <c r="G110" s="724"/>
      <c r="H110" s="725"/>
      <c r="I110" s="136">
        <f>IF(COUNT(F82:F98,F99:F109)=16,SUM(H82:H98,H99:H109),"Enter Pricing in PART 4: Column H")</f>
        <v>13929.234799999998</v>
      </c>
    </row>
    <row r="111" spans="1:10" ht="13.5" thickBot="1" x14ac:dyDescent="0.25"/>
    <row r="112" spans="1:10" s="16" customFormat="1" ht="18.75" thickBot="1" x14ac:dyDescent="0.3">
      <c r="A112" s="536" t="s">
        <v>608</v>
      </c>
      <c r="B112" s="537"/>
      <c r="C112" s="537"/>
      <c r="D112" s="537"/>
      <c r="E112" s="537"/>
      <c r="F112" s="537"/>
      <c r="G112" s="537"/>
      <c r="H112" s="537"/>
      <c r="I112" s="537"/>
      <c r="J112" s="538"/>
    </row>
    <row r="113" spans="1:8" ht="26.25" customHeight="1" thickBot="1" x14ac:dyDescent="0.25">
      <c r="A113" s="135" t="s">
        <v>33</v>
      </c>
      <c r="B113" s="133" t="s">
        <v>7</v>
      </c>
      <c r="C113" s="582" t="s">
        <v>604</v>
      </c>
      <c r="D113" s="547"/>
      <c r="E113" s="134" t="s">
        <v>511</v>
      </c>
      <c r="F113" s="45" t="s">
        <v>509</v>
      </c>
      <c r="H113" s="9"/>
    </row>
    <row r="114" spans="1:8" ht="239.25" customHeight="1" thickBot="1" x14ac:dyDescent="0.25">
      <c r="A114" s="24" t="s">
        <v>85</v>
      </c>
      <c r="B114" s="132" t="s">
        <v>508</v>
      </c>
      <c r="C114" s="678" t="s">
        <v>104</v>
      </c>
      <c r="D114" s="679"/>
      <c r="E114" s="82" t="s">
        <v>357</v>
      </c>
      <c r="F114" s="125">
        <v>6663.08</v>
      </c>
      <c r="H114" s="9"/>
    </row>
    <row r="115" spans="1:8" ht="80.25" customHeight="1" thickBot="1" x14ac:dyDescent="0.25">
      <c r="A115" s="131" t="s">
        <v>20</v>
      </c>
      <c r="B115" s="130" t="s">
        <v>507</v>
      </c>
      <c r="C115" s="129"/>
      <c r="D115" s="128"/>
      <c r="E115" s="127"/>
      <c r="F115" s="126">
        <v>1741</v>
      </c>
      <c r="H115" s="9"/>
    </row>
    <row r="116" spans="1:8" ht="26.25" thickBot="1" x14ac:dyDescent="0.25">
      <c r="A116" s="15" t="s">
        <v>82</v>
      </c>
      <c r="B116" s="15" t="s">
        <v>130</v>
      </c>
      <c r="C116" s="637"/>
      <c r="D116" s="680"/>
      <c r="E116" s="81"/>
      <c r="F116" s="125">
        <v>1071</v>
      </c>
    </row>
    <row r="117" spans="1:8" ht="39" thickBot="1" x14ac:dyDescent="0.25">
      <c r="A117" s="25" t="s">
        <v>272</v>
      </c>
      <c r="B117" s="25" t="s">
        <v>506</v>
      </c>
      <c r="C117" s="91"/>
      <c r="D117" s="124"/>
      <c r="E117" s="82"/>
      <c r="F117" s="123"/>
      <c r="G117" s="122"/>
      <c r="H117" s="121"/>
    </row>
  </sheetData>
  <sheetProtection algorithmName="SHA-512" hashValue="OaQLu4VcA2TRg+exwWvuv50fgzhZR5vq6sPQ5ResMpeVbWwSuznoND5OSWwZ+loM2IoCE6Y8vUIeGWvFRovEuQ==" saltValue="l4n/9lCDAs7MjAXOi3eFZA==" spinCount="100000" sheet="1" objects="1" scenarios="1"/>
  <dataConsolidate/>
  <mergeCells count="142">
    <mergeCell ref="B30:E30"/>
    <mergeCell ref="C81:D81"/>
    <mergeCell ref="C82:D82"/>
    <mergeCell ref="C83:D83"/>
    <mergeCell ref="F90:F97"/>
    <mergeCell ref="G90:G97"/>
    <mergeCell ref="C100:D100"/>
    <mergeCell ref="C102:D102"/>
    <mergeCell ref="C103:D103"/>
    <mergeCell ref="C101:D101"/>
    <mergeCell ref="C98:D98"/>
    <mergeCell ref="F99:F100"/>
    <mergeCell ref="G99:G100"/>
    <mergeCell ref="C96:D96"/>
    <mergeCell ref="C97:D97"/>
    <mergeCell ref="B90:B97"/>
    <mergeCell ref="C90:D90"/>
    <mergeCell ref="C77:D77"/>
    <mergeCell ref="C78:D78"/>
    <mergeCell ref="A80:J80"/>
    <mergeCell ref="C70:D70"/>
    <mergeCell ref="B86:B89"/>
    <mergeCell ref="C86:D86"/>
    <mergeCell ref="H90:H97"/>
    <mergeCell ref="C72:D72"/>
    <mergeCell ref="C73:D73"/>
    <mergeCell ref="C74:D74"/>
    <mergeCell ref="C75:D75"/>
    <mergeCell ref="C109:D109"/>
    <mergeCell ref="F110:H110"/>
    <mergeCell ref="A99:A100"/>
    <mergeCell ref="B99:B100"/>
    <mergeCell ref="C99:D99"/>
    <mergeCell ref="A90:A97"/>
    <mergeCell ref="A86:A89"/>
    <mergeCell ref="H99:H100"/>
    <mergeCell ref="C104:D104"/>
    <mergeCell ref="C105:D105"/>
    <mergeCell ref="C106:D106"/>
    <mergeCell ref="C108:D108"/>
    <mergeCell ref="C91:D91"/>
    <mergeCell ref="C92:D92"/>
    <mergeCell ref="C93:D93"/>
    <mergeCell ref="C94:D94"/>
    <mergeCell ref="C95:D95"/>
    <mergeCell ref="F106:F107"/>
    <mergeCell ref="H106:H107"/>
    <mergeCell ref="C35:D35"/>
    <mergeCell ref="C64:D64"/>
    <mergeCell ref="C65:D65"/>
    <mergeCell ref="C66:D66"/>
    <mergeCell ref="C67:D67"/>
    <mergeCell ref="C68:D68"/>
    <mergeCell ref="C56:D56"/>
    <mergeCell ref="A57:A59"/>
    <mergeCell ref="B57:B59"/>
    <mergeCell ref="C57:D57"/>
    <mergeCell ref="C58:D58"/>
    <mergeCell ref="C59:D59"/>
    <mergeCell ref="C60:D60"/>
    <mergeCell ref="A61:A63"/>
    <mergeCell ref="B61:B63"/>
    <mergeCell ref="C61:D61"/>
    <mergeCell ref="C62:D62"/>
    <mergeCell ref="C63:D63"/>
    <mergeCell ref="A49:A56"/>
    <mergeCell ref="B49:B56"/>
    <mergeCell ref="C49:D49"/>
    <mergeCell ref="C50:D50"/>
    <mergeCell ref="C51:D51"/>
    <mergeCell ref="C52:D52"/>
    <mergeCell ref="A33:G33"/>
    <mergeCell ref="C34:D34"/>
    <mergeCell ref="B18:E18"/>
    <mergeCell ref="B19:E19"/>
    <mergeCell ref="C54:D54"/>
    <mergeCell ref="C55:D55"/>
    <mergeCell ref="A46:A47"/>
    <mergeCell ref="B46:B47"/>
    <mergeCell ref="C46:D46"/>
    <mergeCell ref="C47:D47"/>
    <mergeCell ref="C48:D48"/>
    <mergeCell ref="B26:E26"/>
    <mergeCell ref="A44:A45"/>
    <mergeCell ref="B44:B45"/>
    <mergeCell ref="C44:D44"/>
    <mergeCell ref="C45:D45"/>
    <mergeCell ref="A36:A37"/>
    <mergeCell ref="B36:B37"/>
    <mergeCell ref="C36:D36"/>
    <mergeCell ref="C37:D37"/>
    <mergeCell ref="C38:D38"/>
    <mergeCell ref="B39:B43"/>
    <mergeCell ref="C39:D39"/>
    <mergeCell ref="C40:D40"/>
    <mergeCell ref="B12:E12"/>
    <mergeCell ref="B13:E13"/>
    <mergeCell ref="B14:E14"/>
    <mergeCell ref="B15:E15"/>
    <mergeCell ref="B16:E16"/>
    <mergeCell ref="B27:E27"/>
    <mergeCell ref="B28:E28"/>
    <mergeCell ref="B29:E29"/>
    <mergeCell ref="A3:E3"/>
    <mergeCell ref="A4:E4"/>
    <mergeCell ref="A5:E5"/>
    <mergeCell ref="A6:G6"/>
    <mergeCell ref="B17:E17"/>
    <mergeCell ref="B7:E7"/>
    <mergeCell ref="B8:E8"/>
    <mergeCell ref="B9:E9"/>
    <mergeCell ref="B10:E10"/>
    <mergeCell ref="B11:E11"/>
    <mergeCell ref="A21:F21"/>
    <mergeCell ref="B22:E22"/>
    <mergeCell ref="B23:E23"/>
    <mergeCell ref="B24:E24"/>
    <mergeCell ref="B25:E25"/>
    <mergeCell ref="A39:A43"/>
    <mergeCell ref="A112:J112"/>
    <mergeCell ref="C113:D113"/>
    <mergeCell ref="C114:D114"/>
    <mergeCell ref="C116:D116"/>
    <mergeCell ref="A106:A107"/>
    <mergeCell ref="B106:B107"/>
    <mergeCell ref="C107:D107"/>
    <mergeCell ref="E106:E107"/>
    <mergeCell ref="C41:D41"/>
    <mergeCell ref="C42:D42"/>
    <mergeCell ref="C43:D43"/>
    <mergeCell ref="C53:D53"/>
    <mergeCell ref="C69:D69"/>
    <mergeCell ref="H86:H89"/>
    <mergeCell ref="C87:D87"/>
    <mergeCell ref="C88:D88"/>
    <mergeCell ref="C89:D89"/>
    <mergeCell ref="C84:D84"/>
    <mergeCell ref="C85:D85"/>
    <mergeCell ref="F86:F89"/>
    <mergeCell ref="G86:G89"/>
    <mergeCell ref="C76:D76"/>
    <mergeCell ref="C71:D71"/>
  </mergeCells>
  <conditionalFormatting sqref="C35:E76 C77 C78:E78 C82:F103 C104 E104:F104 C105:F106 C108:F109 C114:E114 E115 C116:F117">
    <cfRule type="expression" dxfId="150" priority="5">
      <formula>$F$2="NO"</formula>
    </cfRule>
  </conditionalFormatting>
  <conditionalFormatting sqref="E115">
    <cfRule type="expression" dxfId="149" priority="4">
      <formula>$E$2="NO"</formula>
    </cfRule>
  </conditionalFormatting>
  <conditionalFormatting sqref="F114:F115">
    <cfRule type="expression" dxfId="148" priority="3">
      <formula>$F$2="NO"</formula>
    </cfRule>
  </conditionalFormatting>
  <conditionalFormatting sqref="F8:G19 F23:F30 E77 H101:H106 C107 H108:H109 G117:H117">
    <cfRule type="expression" dxfId="147" priority="7">
      <formula>$F$2="NO"</formula>
    </cfRule>
  </conditionalFormatting>
  <conditionalFormatting sqref="G82:G109">
    <cfRule type="expression" dxfId="146" priority="1">
      <formula>$F$2="NO"</formula>
    </cfRule>
  </conditionalFormatting>
  <conditionalFormatting sqref="H82:H99">
    <cfRule type="expression" dxfId="145" priority="6">
      <formula>$F$2="NO"</formula>
    </cfRule>
  </conditionalFormatting>
  <dataValidations count="3">
    <dataValidation type="decimal" allowBlank="1" showInputMessage="1" showErrorMessage="1" error="Invalid Entry - Bidder must enter a value that is greater than $0" sqref="F23" xr:uid="{091FCC4B-FED0-4310-A853-F4674893F65A}">
      <formula1>0</formula1>
      <formula2>9E+21</formula2>
    </dataValidation>
    <dataValidation type="decimal" allowBlank="1" showInputMessage="1" showErrorMessage="1" error="The Additional Options NYS Discount entered must be greater than 0%, or less than or equal to 100%." sqref="F28" xr:uid="{892E0BC7-C13F-48E1-8F1B-ABA3A0766F2E}">
      <formula1>0.01</formula1>
      <formula2>100</formula2>
    </dataValidation>
    <dataValidation type="decimal" operator="greaterThanOrEqual" allowBlank="1" showInputMessage="1" showErrorMessage="1" error="The Pickup Allowance cannot be a negative number." sqref="F18:G18" xr:uid="{00000000-0002-0000-0A00-000001000000}">
      <formula1>0</formula1>
    </dataValidation>
  </dataValidations>
  <pageMargins left="0.25" right="0.25" top="0.75" bottom="0.25" header="0.3" footer="0.3"/>
  <pageSetup scale="5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99E-B019-4681-8365-804B3E1A1950}">
  <sheetPr>
    <tabColor rgb="FFCC66FF"/>
    <pageSetUpPr autoPageBreaks="0" fitToPage="1"/>
  </sheetPr>
  <dimension ref="A1:G130"/>
  <sheetViews>
    <sheetView showGridLines="0" zoomScaleNormal="100" zoomScaleSheetLayoutView="85"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customFormat="1" ht="15" x14ac:dyDescent="0.25">
      <c r="A1" s="300" t="str">
        <f>'A (Item 2-G)'!$A$1</f>
        <v>GROUP 40524-23254, SCHOOL BUSES (Statewide)                                                             Attachment 1 - Specifications and Pricing (Revised October 15, 2026)</v>
      </c>
      <c r="B1" s="2"/>
      <c r="C1" s="2"/>
      <c r="D1" s="2"/>
      <c r="E1" s="2"/>
      <c r="F1" s="412"/>
    </row>
    <row r="2" spans="1:7" customFormat="1" ht="15.75" thickBot="1" x14ac:dyDescent="0.3">
      <c r="A2" s="302" t="str">
        <f>'Attachment 1 - Summary'!B2</f>
        <v>PC69863 Nesco Bus and Truck Sales, Inc.</v>
      </c>
      <c r="B2" s="21"/>
      <c r="C2" s="21"/>
      <c r="D2" s="21"/>
      <c r="F2" s="412"/>
    </row>
    <row r="3" spans="1:7" ht="24" thickBot="1" x14ac:dyDescent="0.25">
      <c r="A3" s="503" t="s">
        <v>669</v>
      </c>
      <c r="B3" s="504"/>
      <c r="C3" s="504"/>
      <c r="D3" s="505"/>
      <c r="E3" s="8"/>
      <c r="F3" s="304"/>
      <c r="G3" s="8"/>
    </row>
    <row r="4" spans="1:7" ht="51" customHeight="1" thickBot="1" x14ac:dyDescent="0.25">
      <c r="A4" s="506" t="s">
        <v>290</v>
      </c>
      <c r="B4" s="507"/>
      <c r="C4" s="507"/>
      <c r="D4" s="508"/>
      <c r="E4" s="8"/>
      <c r="F4" s="304"/>
      <c r="G4" s="8"/>
    </row>
    <row r="5" spans="1:7" s="4" customFormat="1" ht="11.25" customHeight="1" thickBot="1" x14ac:dyDescent="0.3">
      <c r="A5" s="64"/>
      <c r="B5" s="64"/>
      <c r="C5" s="64"/>
      <c r="D5" s="64"/>
      <c r="E5" s="64"/>
      <c r="F5" s="286"/>
    </row>
    <row r="6" spans="1:7" s="7" customFormat="1" ht="32.25" thickBot="1" x14ac:dyDescent="0.25">
      <c r="A6" s="509" t="s">
        <v>151</v>
      </c>
      <c r="B6" s="510"/>
      <c r="C6" s="510"/>
      <c r="D6" s="511"/>
      <c r="E6" s="31"/>
      <c r="F6" s="414" t="s">
        <v>329</v>
      </c>
      <c r="G6" s="31"/>
    </row>
    <row r="7" spans="1:7" s="4" customFormat="1" ht="15" customHeight="1" thickBot="1" x14ac:dyDescent="0.3">
      <c r="A7" s="37" t="s">
        <v>6</v>
      </c>
      <c r="B7" s="22" t="s">
        <v>165</v>
      </c>
      <c r="C7" s="27"/>
      <c r="D7" s="35"/>
      <c r="E7" s="32"/>
      <c r="F7" s="415" t="s">
        <v>17</v>
      </c>
      <c r="G7" s="32"/>
    </row>
    <row r="8" spans="1:7" ht="52.5" thickTop="1" thickBot="1" x14ac:dyDescent="0.25">
      <c r="A8" s="38" t="s">
        <v>9</v>
      </c>
      <c r="B8" s="500" t="s">
        <v>152</v>
      </c>
      <c r="C8" s="501"/>
      <c r="D8" s="502"/>
      <c r="E8" s="13"/>
      <c r="F8" s="324" t="s">
        <v>378</v>
      </c>
      <c r="G8" s="13"/>
    </row>
    <row r="9" spans="1:7" s="7" customFormat="1" ht="39.75" customHeight="1" thickTop="1" thickBot="1" x14ac:dyDescent="0.25">
      <c r="A9" s="38" t="s">
        <v>136</v>
      </c>
      <c r="B9" s="500" t="s">
        <v>191</v>
      </c>
      <c r="C9" s="501"/>
      <c r="D9" s="502"/>
      <c r="E9" s="13"/>
      <c r="F9" s="324" t="s">
        <v>385</v>
      </c>
      <c r="G9" s="13"/>
    </row>
    <row r="10" spans="1:7" ht="12.75" customHeight="1" thickTop="1" x14ac:dyDescent="0.2">
      <c r="A10" s="39" t="s">
        <v>0</v>
      </c>
      <c r="B10" s="491" t="s">
        <v>154</v>
      </c>
      <c r="C10" s="492"/>
      <c r="D10" s="493"/>
      <c r="E10" s="13"/>
      <c r="F10" s="334" t="s">
        <v>304</v>
      </c>
      <c r="G10" s="13"/>
    </row>
    <row r="11" spans="1:7" x14ac:dyDescent="0.2">
      <c r="A11" s="39" t="s">
        <v>1</v>
      </c>
      <c r="B11" s="491" t="s">
        <v>153</v>
      </c>
      <c r="C11" s="492"/>
      <c r="D11" s="493"/>
      <c r="E11" s="13"/>
      <c r="F11" s="334">
        <v>4500</v>
      </c>
      <c r="G11" s="13"/>
    </row>
    <row r="12" spans="1:7" ht="15.6" customHeight="1" thickBot="1" x14ac:dyDescent="0.25">
      <c r="A12" s="40" t="s">
        <v>2</v>
      </c>
      <c r="B12" s="494" t="s">
        <v>155</v>
      </c>
      <c r="C12" s="495"/>
      <c r="D12" s="496"/>
      <c r="E12" s="13"/>
      <c r="F12" s="336" t="s">
        <v>386</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335</v>
      </c>
      <c r="G14" s="13"/>
    </row>
    <row r="15" spans="1:7" ht="15.75" customHeight="1" thickBot="1" x14ac:dyDescent="0.25">
      <c r="A15" s="41" t="s">
        <v>5</v>
      </c>
      <c r="B15" s="494" t="s">
        <v>158</v>
      </c>
      <c r="C15" s="495"/>
      <c r="D15" s="496"/>
      <c r="E15" s="13"/>
      <c r="F15" s="341" t="s">
        <v>387</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v>210</v>
      </c>
      <c r="G17" s="13"/>
    </row>
    <row r="18" spans="1:7" s="9" customFormat="1" ht="14.25" thickTop="1" thickBot="1" x14ac:dyDescent="0.25">
      <c r="C18" s="10"/>
      <c r="D18" s="10"/>
      <c r="E18" s="10"/>
      <c r="F18" s="345"/>
      <c r="G18" s="10"/>
    </row>
    <row r="19" spans="1:7" s="11" customFormat="1" ht="32.25" thickBot="1" x14ac:dyDescent="0.25">
      <c r="A19" s="509" t="s">
        <v>150</v>
      </c>
      <c r="B19" s="510"/>
      <c r="C19" s="510"/>
      <c r="D19" s="511"/>
      <c r="E19" s="31"/>
      <c r="F19" s="414" t="s">
        <v>329</v>
      </c>
      <c r="G19" s="31"/>
    </row>
    <row r="20" spans="1:7" s="4" customFormat="1" ht="15" customHeight="1" thickBot="1" x14ac:dyDescent="0.3">
      <c r="A20" s="52" t="s">
        <v>6</v>
      </c>
      <c r="B20" s="26" t="s">
        <v>165</v>
      </c>
      <c r="C20" s="28"/>
      <c r="D20" s="45"/>
      <c r="E20" s="32"/>
      <c r="F20" s="415" t="s">
        <v>17</v>
      </c>
      <c r="G20" s="32"/>
    </row>
    <row r="21" spans="1:7" ht="56.25" customHeight="1" x14ac:dyDescent="0.2">
      <c r="A21" s="42" t="s">
        <v>42</v>
      </c>
      <c r="B21" s="512" t="s">
        <v>161</v>
      </c>
      <c r="C21" s="513"/>
      <c r="D21" s="514"/>
      <c r="E21" s="13"/>
      <c r="F21" s="416">
        <f>72453.74*('PPI Adj'!D6)</f>
        <v>84553.514580000003</v>
      </c>
      <c r="G21" s="13"/>
    </row>
    <row r="22" spans="1:7" ht="42.75" customHeight="1" x14ac:dyDescent="0.2">
      <c r="A22" s="39" t="s">
        <v>20</v>
      </c>
      <c r="B22" s="491" t="s">
        <v>162</v>
      </c>
      <c r="C22" s="492"/>
      <c r="D22" s="493"/>
      <c r="E22" s="13"/>
      <c r="F22" s="416">
        <f>1641*('PPI Adj'!D6)</f>
        <v>1915.047</v>
      </c>
      <c r="G22" s="13"/>
    </row>
    <row r="23" spans="1:7" ht="33" customHeight="1" thickBot="1" x14ac:dyDescent="0.25">
      <c r="A23" s="43" t="s">
        <v>41</v>
      </c>
      <c r="B23" s="533" t="s">
        <v>163</v>
      </c>
      <c r="C23" s="534"/>
      <c r="D23" s="535"/>
      <c r="E23" s="1"/>
      <c r="F23" s="354">
        <v>20</v>
      </c>
      <c r="G23" s="1"/>
    </row>
    <row r="24" spans="1:7" ht="13.5" thickBot="1" x14ac:dyDescent="0.25">
      <c r="A24" s="69"/>
      <c r="B24" s="1"/>
      <c r="C24" s="1"/>
      <c r="D24" s="1"/>
      <c r="E24" s="1"/>
      <c r="F24" s="418"/>
      <c r="G24" s="1"/>
    </row>
    <row r="25" spans="1:7" s="7" customFormat="1" ht="32.25" thickBot="1" x14ac:dyDescent="0.25">
      <c r="A25" s="536" t="s">
        <v>164</v>
      </c>
      <c r="B25" s="537"/>
      <c r="C25" s="537"/>
      <c r="D25" s="538"/>
      <c r="E25" s="33"/>
      <c r="F25" s="414" t="s">
        <v>329</v>
      </c>
      <c r="G25" s="33"/>
    </row>
    <row r="26" spans="1:7" s="3" customFormat="1" ht="15" customHeight="1" thickBot="1" x14ac:dyDescent="0.3">
      <c r="A26" s="52" t="s">
        <v>6</v>
      </c>
      <c r="B26" s="53" t="s">
        <v>7</v>
      </c>
      <c r="C26" s="539" t="s">
        <v>165</v>
      </c>
      <c r="D26" s="540"/>
      <c r="E26" s="34"/>
      <c r="F26" s="415" t="s">
        <v>17</v>
      </c>
      <c r="G26" s="34"/>
    </row>
    <row r="27" spans="1:7" s="13" customFormat="1" ht="43.5" customHeight="1" thickBot="1" x14ac:dyDescent="0.3">
      <c r="A27" s="46" t="s">
        <v>8</v>
      </c>
      <c r="B27" s="24" t="s">
        <v>131</v>
      </c>
      <c r="C27" s="515" t="s">
        <v>118</v>
      </c>
      <c r="D27" s="516"/>
      <c r="E27" s="29"/>
      <c r="F27" s="373">
        <v>14200</v>
      </c>
      <c r="G27" s="29"/>
    </row>
    <row r="28" spans="1:7" s="13" customFormat="1" x14ac:dyDescent="0.25">
      <c r="A28" s="517" t="s">
        <v>21</v>
      </c>
      <c r="B28" s="519" t="s">
        <v>289</v>
      </c>
      <c r="C28" s="521"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ckBot="1" x14ac:dyDescent="0.3">
      <c r="A30" s="47" t="s">
        <v>123</v>
      </c>
      <c r="B30" s="25" t="s">
        <v>108</v>
      </c>
      <c r="C30" s="531"/>
      <c r="D30" s="532"/>
      <c r="E30" s="30"/>
      <c r="F30" s="373"/>
      <c r="G30" s="30"/>
    </row>
    <row r="31" spans="1:7" s="13" customFormat="1" x14ac:dyDescent="0.25">
      <c r="A31" s="517" t="s">
        <v>59</v>
      </c>
      <c r="B31" s="519"/>
      <c r="C31" s="521" t="s">
        <v>58</v>
      </c>
      <c r="D31" s="522"/>
      <c r="E31" s="29"/>
      <c r="F31" s="367">
        <v>159</v>
      </c>
      <c r="G31" s="29"/>
    </row>
    <row r="32" spans="1:7" s="13" customFormat="1" x14ac:dyDescent="0.25">
      <c r="A32" s="525"/>
      <c r="B32" s="526"/>
      <c r="C32" s="527" t="s">
        <v>57</v>
      </c>
      <c r="D32" s="528"/>
      <c r="E32" s="29"/>
      <c r="F32" s="334">
        <v>266.5</v>
      </c>
      <c r="G32" s="29"/>
    </row>
    <row r="33" spans="1:7" s="13" customFormat="1" x14ac:dyDescent="0.25">
      <c r="A33" s="525"/>
      <c r="B33" s="526"/>
      <c r="C33" s="527" t="s">
        <v>69</v>
      </c>
      <c r="D33" s="528"/>
      <c r="E33" s="29"/>
      <c r="F33" s="334">
        <v>90</v>
      </c>
      <c r="G33" s="29"/>
    </row>
    <row r="34" spans="1:7" s="13" customFormat="1" x14ac:dyDescent="0.25">
      <c r="A34" s="525"/>
      <c r="B34" s="526"/>
      <c r="C34" s="529" t="s">
        <v>70</v>
      </c>
      <c r="D34" s="530"/>
      <c r="E34" s="29"/>
      <c r="F34" s="334">
        <v>73</v>
      </c>
      <c r="G34" s="29"/>
    </row>
    <row r="35" spans="1:7" s="13" customFormat="1" ht="15.6" customHeight="1" thickBot="1" x14ac:dyDescent="0.3">
      <c r="A35" s="518"/>
      <c r="B35" s="520"/>
      <c r="C35" s="515" t="s">
        <v>111</v>
      </c>
      <c r="D35" s="516"/>
      <c r="E35" s="29"/>
      <c r="F35" s="343">
        <v>94.1</v>
      </c>
      <c r="G35" s="29"/>
    </row>
    <row r="36" spans="1:7" s="13" customFormat="1" x14ac:dyDescent="0.25">
      <c r="A36" s="517" t="s">
        <v>11</v>
      </c>
      <c r="B36" s="519"/>
      <c r="C36" s="521" t="s">
        <v>24</v>
      </c>
      <c r="D36" s="522"/>
      <c r="E36" s="29"/>
      <c r="F36" s="367">
        <v>4600</v>
      </c>
      <c r="G36" s="29"/>
    </row>
    <row r="37" spans="1:7" s="13" customFormat="1" ht="13.5" thickBot="1" x14ac:dyDescent="0.3">
      <c r="A37" s="518"/>
      <c r="B37" s="520"/>
      <c r="C37" s="515" t="s">
        <v>22</v>
      </c>
      <c r="D37" s="516"/>
      <c r="E37" s="29"/>
      <c r="F37" s="343">
        <v>4600</v>
      </c>
      <c r="G37" s="29"/>
    </row>
    <row r="38" spans="1:7" s="13" customFormat="1" ht="15" customHeight="1" x14ac:dyDescent="0.25">
      <c r="A38" s="517" t="s">
        <v>16</v>
      </c>
      <c r="B38" s="519"/>
      <c r="C38" s="521" t="s">
        <v>24</v>
      </c>
      <c r="D38" s="522"/>
      <c r="E38" s="29"/>
      <c r="F38" s="367">
        <v>9600</v>
      </c>
      <c r="G38" s="29"/>
    </row>
    <row r="39" spans="1:7" s="13" customFormat="1" ht="15.95" customHeight="1" thickBot="1" x14ac:dyDescent="0.3">
      <c r="A39" s="518"/>
      <c r="B39" s="520"/>
      <c r="C39" s="523" t="s">
        <v>23</v>
      </c>
      <c r="D39" s="524"/>
      <c r="E39" s="29"/>
      <c r="F39" s="343">
        <v>9600</v>
      </c>
      <c r="G39" s="29"/>
    </row>
    <row r="40" spans="1:7" s="13" customFormat="1" ht="15.95" customHeight="1" thickBot="1" x14ac:dyDescent="0.3">
      <c r="A40" s="47" t="s">
        <v>52</v>
      </c>
      <c r="B40" s="25" t="s">
        <v>53</v>
      </c>
      <c r="C40" s="531"/>
      <c r="D40" s="532"/>
      <c r="E40" s="30"/>
      <c r="F40" s="373"/>
      <c r="G40" s="30"/>
    </row>
    <row r="41" spans="1:7" s="13" customFormat="1" ht="13.5" customHeight="1" thickBot="1" x14ac:dyDescent="0.3">
      <c r="A41" s="541" t="s">
        <v>12</v>
      </c>
      <c r="B41" s="542" t="s">
        <v>142</v>
      </c>
      <c r="C41" s="521" t="s">
        <v>174</v>
      </c>
      <c r="D41" s="522"/>
      <c r="E41" s="29"/>
      <c r="F41" s="367" t="s">
        <v>368</v>
      </c>
      <c r="G41" s="29"/>
    </row>
    <row r="42" spans="1:7" s="13" customFormat="1" ht="13.5" customHeight="1" thickBot="1" x14ac:dyDescent="0.3">
      <c r="A42" s="541"/>
      <c r="B42" s="542"/>
      <c r="C42" s="527" t="s">
        <v>175</v>
      </c>
      <c r="D42" s="528"/>
      <c r="E42" s="29"/>
      <c r="F42" s="334">
        <v>2335</v>
      </c>
      <c r="G42" s="29"/>
    </row>
    <row r="43" spans="1:7" s="13" customFormat="1" ht="13.5" customHeight="1" thickBot="1" x14ac:dyDescent="0.3">
      <c r="A43" s="541"/>
      <c r="B43" s="542"/>
      <c r="C43" s="527" t="s">
        <v>176</v>
      </c>
      <c r="D43" s="528"/>
      <c r="E43" s="29"/>
      <c r="F43" s="419" t="s">
        <v>368</v>
      </c>
      <c r="G43" s="29"/>
    </row>
    <row r="44" spans="1:7" s="13" customFormat="1" ht="13.5" customHeight="1" thickBot="1" x14ac:dyDescent="0.3">
      <c r="A44" s="541"/>
      <c r="B44" s="542"/>
      <c r="C44" s="527" t="s">
        <v>177</v>
      </c>
      <c r="D44" s="528"/>
      <c r="E44" s="29"/>
      <c r="F44" s="334">
        <v>2470</v>
      </c>
      <c r="G44" s="29"/>
    </row>
    <row r="45" spans="1:7" s="13" customFormat="1" ht="13.5" customHeight="1" thickBot="1" x14ac:dyDescent="0.3">
      <c r="A45" s="541"/>
      <c r="B45" s="542"/>
      <c r="C45" s="527" t="s">
        <v>112</v>
      </c>
      <c r="D45" s="528"/>
      <c r="E45" s="29"/>
      <c r="F45" s="334" t="s">
        <v>308</v>
      </c>
      <c r="G45" s="29"/>
    </row>
    <row r="46" spans="1:7" s="13" customFormat="1" ht="13.5" thickBot="1" x14ac:dyDescent="0.3">
      <c r="A46" s="541"/>
      <c r="B46" s="542"/>
      <c r="C46" s="527" t="s">
        <v>113</v>
      </c>
      <c r="D46" s="528"/>
      <c r="E46" s="29"/>
      <c r="F46" s="334" t="s">
        <v>340</v>
      </c>
      <c r="G46" s="29"/>
    </row>
    <row r="47" spans="1:7" s="13" customFormat="1" ht="13.5" customHeight="1" thickBot="1" x14ac:dyDescent="0.3">
      <c r="A47" s="541"/>
      <c r="B47" s="542"/>
      <c r="C47" s="529" t="s">
        <v>114</v>
      </c>
      <c r="D47" s="530"/>
      <c r="E47" s="29"/>
      <c r="F47" s="334" t="s">
        <v>380</v>
      </c>
      <c r="G47" s="29"/>
    </row>
    <row r="48" spans="1:7" s="13" customFormat="1" ht="13.5" thickBot="1" x14ac:dyDescent="0.3">
      <c r="A48" s="541"/>
      <c r="B48" s="542"/>
      <c r="C48" s="515" t="s">
        <v>115</v>
      </c>
      <c r="D48" s="516"/>
      <c r="E48" s="29"/>
      <c r="F48" s="343" t="s">
        <v>340</v>
      </c>
      <c r="G48" s="29"/>
    </row>
    <row r="49" spans="1:7" s="13" customFormat="1" x14ac:dyDescent="0.25">
      <c r="A49" s="517" t="s">
        <v>10</v>
      </c>
      <c r="B49" s="519" t="s">
        <v>62</v>
      </c>
      <c r="C49" s="521" t="s">
        <v>116</v>
      </c>
      <c r="D49" s="522"/>
      <c r="E49" s="29"/>
      <c r="F49" s="367">
        <v>6</v>
      </c>
      <c r="G49" s="29"/>
    </row>
    <row r="50" spans="1:7" s="13" customFormat="1" x14ac:dyDescent="0.25">
      <c r="A50" s="525"/>
      <c r="B50" s="526"/>
      <c r="C50" s="527" t="s">
        <v>117</v>
      </c>
      <c r="D50" s="528"/>
      <c r="E50" s="29"/>
      <c r="F50" s="334" t="s">
        <v>341</v>
      </c>
      <c r="G50" s="29"/>
    </row>
    <row r="51" spans="1:7" s="13" customFormat="1" ht="13.5" thickBot="1" x14ac:dyDescent="0.3">
      <c r="A51" s="525"/>
      <c r="B51" s="526"/>
      <c r="C51" s="523" t="s">
        <v>71</v>
      </c>
      <c r="D51" s="524"/>
      <c r="E51" s="29"/>
      <c r="F51" s="329" t="s">
        <v>381</v>
      </c>
      <c r="G51" s="29"/>
    </row>
    <row r="52" spans="1:7" s="13" customFormat="1" ht="82.5" customHeight="1" thickBot="1" x14ac:dyDescent="0.3">
      <c r="A52" s="48" t="s">
        <v>9</v>
      </c>
      <c r="B52" s="23" t="s">
        <v>140</v>
      </c>
      <c r="C52" s="529"/>
      <c r="D52" s="530"/>
      <c r="E52" s="29"/>
      <c r="F52" s="367"/>
      <c r="G52" s="29"/>
    </row>
    <row r="53" spans="1:7" s="13" customFormat="1" x14ac:dyDescent="0.25">
      <c r="A53" s="517" t="s">
        <v>25</v>
      </c>
      <c r="B53" s="519" t="s">
        <v>93</v>
      </c>
      <c r="C53" s="521" t="s">
        <v>72</v>
      </c>
      <c r="D53" s="522"/>
      <c r="E53" s="29"/>
      <c r="F53" s="367" t="s">
        <v>343</v>
      </c>
      <c r="G53" s="29"/>
    </row>
    <row r="54" spans="1:7" s="13" customFormat="1" ht="54.95" customHeight="1" thickBot="1" x14ac:dyDescent="0.3">
      <c r="A54" s="518"/>
      <c r="B54" s="520"/>
      <c r="C54" s="515" t="s">
        <v>73</v>
      </c>
      <c r="D54" s="516"/>
      <c r="E54" s="29"/>
      <c r="F54" s="343">
        <v>220</v>
      </c>
      <c r="G54" s="29"/>
    </row>
    <row r="55" spans="1:7" s="13" customFormat="1" x14ac:dyDescent="0.25">
      <c r="A55" s="517" t="s">
        <v>26</v>
      </c>
      <c r="B55" s="519"/>
      <c r="C55" s="521" t="s">
        <v>74</v>
      </c>
      <c r="D55" s="522"/>
      <c r="E55" s="29"/>
      <c r="F55" s="367" t="s">
        <v>344</v>
      </c>
      <c r="G55" s="29"/>
    </row>
    <row r="56" spans="1:7" s="13" customFormat="1" x14ac:dyDescent="0.25">
      <c r="A56" s="525"/>
      <c r="B56" s="526"/>
      <c r="C56" s="527" t="s">
        <v>75</v>
      </c>
      <c r="D56" s="528"/>
      <c r="E56" s="29"/>
      <c r="F56" s="334">
        <v>2</v>
      </c>
      <c r="G56" s="29"/>
    </row>
    <row r="57" spans="1:7" s="13" customFormat="1" ht="13.5" thickBot="1" x14ac:dyDescent="0.3">
      <c r="A57" s="518"/>
      <c r="B57" s="520"/>
      <c r="C57" s="515" t="s">
        <v>76</v>
      </c>
      <c r="D57" s="516"/>
      <c r="E57" s="29"/>
      <c r="F57" s="343" t="s">
        <v>388</v>
      </c>
      <c r="G57" s="29"/>
    </row>
    <row r="58" spans="1:7" s="13" customFormat="1" ht="14.45" customHeight="1" thickBot="1" x14ac:dyDescent="0.3">
      <c r="A58" s="47" t="s">
        <v>44</v>
      </c>
      <c r="B58" s="25" t="s">
        <v>45</v>
      </c>
      <c r="C58" s="531"/>
      <c r="D58" s="532"/>
      <c r="E58" s="30"/>
      <c r="F58" s="384"/>
      <c r="G58" s="30"/>
    </row>
    <row r="59" spans="1:7" s="13" customFormat="1" ht="28.5" customHeight="1" thickBot="1" x14ac:dyDescent="0.3">
      <c r="A59" s="47" t="s">
        <v>44</v>
      </c>
      <c r="B59" s="25" t="s">
        <v>63</v>
      </c>
      <c r="C59" s="531"/>
      <c r="D59" s="532"/>
      <c r="E59" s="30"/>
      <c r="F59" s="384"/>
      <c r="G59" s="30"/>
    </row>
    <row r="60" spans="1:7" s="13" customFormat="1" ht="30" customHeight="1" thickBot="1" x14ac:dyDescent="0.3">
      <c r="A60" s="47" t="s">
        <v>44</v>
      </c>
      <c r="B60" s="25" t="s">
        <v>64</v>
      </c>
      <c r="C60" s="531"/>
      <c r="D60" s="532"/>
      <c r="E60" s="30"/>
      <c r="F60" s="384"/>
      <c r="G60" s="30"/>
    </row>
    <row r="61" spans="1:7" s="13" customFormat="1" ht="18.600000000000001" customHeight="1" thickBot="1" x14ac:dyDescent="0.3">
      <c r="A61" s="47" t="s">
        <v>50</v>
      </c>
      <c r="B61" s="25" t="s">
        <v>65</v>
      </c>
      <c r="C61" s="531"/>
      <c r="D61" s="532"/>
      <c r="E61" s="30"/>
      <c r="F61" s="384"/>
      <c r="G61" s="30"/>
    </row>
    <row r="62" spans="1:7" s="13" customFormat="1" ht="13.5" thickBot="1" x14ac:dyDescent="0.3">
      <c r="A62" s="47" t="s">
        <v>27</v>
      </c>
      <c r="B62" s="25"/>
      <c r="C62" s="543" t="s">
        <v>77</v>
      </c>
      <c r="D62" s="544"/>
      <c r="E62" s="29"/>
      <c r="F62" s="373" t="s">
        <v>346</v>
      </c>
      <c r="G62" s="29"/>
    </row>
    <row r="63" spans="1:7" s="13" customFormat="1" ht="39.6" customHeight="1" thickBot="1" x14ac:dyDescent="0.3">
      <c r="A63" s="47" t="s">
        <v>28</v>
      </c>
      <c r="B63" s="25" t="s">
        <v>179</v>
      </c>
      <c r="C63" s="543" t="s">
        <v>78</v>
      </c>
      <c r="D63" s="544"/>
      <c r="E63" s="29"/>
      <c r="F63" s="373">
        <v>33</v>
      </c>
      <c r="G63" s="29"/>
    </row>
    <row r="64" spans="1:7" s="13" customFormat="1" ht="39.6" customHeight="1" thickBot="1" x14ac:dyDescent="0.3">
      <c r="A64" s="47" t="s">
        <v>51</v>
      </c>
      <c r="B64" s="25" t="s">
        <v>79</v>
      </c>
      <c r="C64" s="531"/>
      <c r="D64" s="532"/>
      <c r="E64" s="30"/>
      <c r="F64" s="373"/>
      <c r="G64" s="30"/>
    </row>
    <row r="65" spans="1:7" s="13" customFormat="1" ht="41.1" customHeight="1" thickBot="1" x14ac:dyDescent="0.3">
      <c r="A65" s="47" t="s">
        <v>54</v>
      </c>
      <c r="B65" s="25" t="s">
        <v>80</v>
      </c>
      <c r="C65" s="531"/>
      <c r="D65" s="532"/>
      <c r="E65" s="30"/>
      <c r="F65" s="373"/>
      <c r="G65" s="30"/>
    </row>
    <row r="66" spans="1:7" s="13" customFormat="1" ht="78" customHeight="1" thickBot="1" x14ac:dyDescent="0.3">
      <c r="A66" s="47" t="s">
        <v>29</v>
      </c>
      <c r="B66" s="25" t="s">
        <v>132</v>
      </c>
      <c r="C66" s="531"/>
      <c r="D66" s="532"/>
      <c r="E66" s="30"/>
      <c r="F66" s="373"/>
      <c r="G66" s="30"/>
    </row>
    <row r="67" spans="1:7" s="13" customFormat="1" ht="39" thickBot="1" x14ac:dyDescent="0.3">
      <c r="A67" s="47" t="s">
        <v>31</v>
      </c>
      <c r="B67" s="25" t="s">
        <v>94</v>
      </c>
      <c r="C67" s="543" t="s">
        <v>30</v>
      </c>
      <c r="D67" s="544"/>
      <c r="E67" s="29"/>
      <c r="F67" s="373" t="s">
        <v>347</v>
      </c>
      <c r="G67" s="29"/>
    </row>
    <row r="68" spans="1:7" s="13" customFormat="1" ht="28.5" customHeight="1" thickBot="1" x14ac:dyDescent="0.3">
      <c r="A68" s="47" t="s">
        <v>55</v>
      </c>
      <c r="B68" s="25" t="s">
        <v>95</v>
      </c>
      <c r="C68" s="531"/>
      <c r="D68" s="532"/>
      <c r="E68" s="30"/>
      <c r="F68" s="373"/>
      <c r="G68" s="30"/>
    </row>
    <row r="69" spans="1:7" s="13" customFormat="1" ht="26.25" thickBot="1" x14ac:dyDescent="0.3">
      <c r="A69" s="47" t="s">
        <v>32</v>
      </c>
      <c r="B69" s="25" t="s">
        <v>96</v>
      </c>
      <c r="C69" s="543" t="s">
        <v>30</v>
      </c>
      <c r="D69" s="544"/>
      <c r="E69" s="29"/>
      <c r="F69" s="373" t="s">
        <v>348</v>
      </c>
      <c r="G69" s="29"/>
    </row>
    <row r="70" spans="1:7" s="13" customFormat="1" ht="40.5" customHeight="1" thickBot="1" x14ac:dyDescent="0.3">
      <c r="A70" s="47" t="s">
        <v>56</v>
      </c>
      <c r="B70" s="25" t="s">
        <v>167</v>
      </c>
      <c r="C70" s="531"/>
      <c r="D70" s="532"/>
      <c r="E70" s="30"/>
      <c r="F70" s="373"/>
      <c r="G70" s="30"/>
    </row>
    <row r="71" spans="1:7" s="13" customFormat="1" ht="27.95" customHeight="1" thickBot="1" x14ac:dyDescent="0.3">
      <c r="A71" s="47" t="s">
        <v>48</v>
      </c>
      <c r="B71" s="25" t="s">
        <v>47</v>
      </c>
      <c r="C71" s="531"/>
      <c r="D71" s="532"/>
      <c r="E71" s="30"/>
      <c r="F71" s="373"/>
      <c r="G71" s="30"/>
    </row>
    <row r="72" spans="1:7" s="13" customFormat="1" ht="27" customHeight="1" thickBot="1" x14ac:dyDescent="0.3">
      <c r="A72" s="47" t="s">
        <v>49</v>
      </c>
      <c r="B72" s="25" t="s">
        <v>103</v>
      </c>
      <c r="C72" s="531"/>
      <c r="D72" s="532"/>
      <c r="E72" s="30"/>
      <c r="F72" s="373"/>
      <c r="G72" s="30"/>
    </row>
    <row r="73" spans="1:7" s="13" customFormat="1" ht="26.25" thickBot="1" x14ac:dyDescent="0.3">
      <c r="A73" s="47" t="s">
        <v>46</v>
      </c>
      <c r="B73" s="25" t="s">
        <v>81</v>
      </c>
      <c r="C73" s="531"/>
      <c r="D73" s="532"/>
      <c r="E73" s="30"/>
      <c r="F73" s="373"/>
      <c r="G73" s="30"/>
    </row>
    <row r="74" spans="1:7" ht="13.5" thickBot="1" x14ac:dyDescent="0.25"/>
    <row r="75" spans="1:7" s="16" customFormat="1" ht="32.25" thickBot="1" x14ac:dyDescent="0.3">
      <c r="A75" s="536" t="s">
        <v>168</v>
      </c>
      <c r="B75" s="537"/>
      <c r="C75" s="537"/>
      <c r="D75" s="538"/>
      <c r="E75" s="33"/>
      <c r="F75" s="414" t="s">
        <v>329</v>
      </c>
    </row>
    <row r="76" spans="1:7" s="3" customFormat="1" ht="15" customHeight="1" thickBot="1" x14ac:dyDescent="0.3">
      <c r="A76" s="545" t="s">
        <v>169</v>
      </c>
      <c r="B76" s="546"/>
      <c r="C76" s="546"/>
      <c r="D76" s="547"/>
      <c r="E76" s="34"/>
      <c r="F76" s="415" t="s">
        <v>17</v>
      </c>
    </row>
    <row r="77" spans="1:7" s="13" customFormat="1" ht="12.75" customHeight="1" x14ac:dyDescent="0.25">
      <c r="A77" s="738" t="s">
        <v>82</v>
      </c>
      <c r="B77" s="739"/>
      <c r="C77" s="739"/>
      <c r="D77" s="740"/>
      <c r="E77" s="30"/>
      <c r="F77" s="420">
        <f>1010*('PPI Adj'!D6)</f>
        <v>1178.67</v>
      </c>
      <c r="G77" s="29"/>
    </row>
    <row r="78" spans="1:7" s="13" customFormat="1" ht="12.75" customHeight="1" x14ac:dyDescent="0.25">
      <c r="A78" s="741" t="s">
        <v>83</v>
      </c>
      <c r="B78" s="742"/>
      <c r="C78" s="742"/>
      <c r="D78" s="743"/>
      <c r="E78" s="30"/>
      <c r="F78" s="420">
        <f>-1010*('PPI Adj'!D6)</f>
        <v>-1178.67</v>
      </c>
      <c r="G78" s="29"/>
    </row>
    <row r="79" spans="1:7" s="13" customFormat="1" ht="12.75" customHeight="1" x14ac:dyDescent="0.25">
      <c r="A79" s="557" t="s">
        <v>34</v>
      </c>
      <c r="B79" s="558"/>
      <c r="C79" s="558"/>
      <c r="D79" s="559"/>
      <c r="E79" s="29"/>
      <c r="F79" s="421">
        <f>532*('PPI Adj'!D6)</f>
        <v>620.84400000000005</v>
      </c>
      <c r="G79" s="29"/>
    </row>
    <row r="80" spans="1:7" s="13" customFormat="1" x14ac:dyDescent="0.25">
      <c r="A80" s="557" t="s">
        <v>35</v>
      </c>
      <c r="B80" s="558"/>
      <c r="C80" s="558"/>
      <c r="D80" s="559"/>
      <c r="E80" s="30"/>
      <c r="F80" s="421">
        <f>261*('PPI Adj'!D6)</f>
        <v>304.58699999999999</v>
      </c>
      <c r="G80" s="29"/>
    </row>
    <row r="81" spans="1:7" s="13" customFormat="1" x14ac:dyDescent="0.25">
      <c r="A81" s="557" t="s">
        <v>36</v>
      </c>
      <c r="B81" s="558"/>
      <c r="C81" s="558"/>
      <c r="D81" s="559"/>
      <c r="E81" s="29"/>
      <c r="F81" s="421">
        <f>290*('PPI Adj'!D6)</f>
        <v>338.43</v>
      </c>
      <c r="G81" s="29"/>
    </row>
    <row r="82" spans="1:7" s="13" customFormat="1" x14ac:dyDescent="0.25">
      <c r="A82" s="557" t="s">
        <v>60</v>
      </c>
      <c r="B82" s="558"/>
      <c r="C82" s="558"/>
      <c r="D82" s="559"/>
      <c r="E82" s="29"/>
      <c r="F82" s="421">
        <f>1086*('PPI Adj'!D6)</f>
        <v>1267.3620000000001</v>
      </c>
      <c r="G82" s="29"/>
    </row>
    <row r="83" spans="1:7" s="13" customFormat="1" x14ac:dyDescent="0.25">
      <c r="A83" s="557" t="s">
        <v>61</v>
      </c>
      <c r="B83" s="558"/>
      <c r="C83" s="558"/>
      <c r="D83" s="559"/>
      <c r="E83" s="29"/>
      <c r="F83" s="421">
        <f>1524*('PPI Adj'!D6)</f>
        <v>1778.508</v>
      </c>
      <c r="G83" s="29"/>
    </row>
    <row r="84" spans="1:7" s="13" customFormat="1" ht="12.75" customHeight="1" x14ac:dyDescent="0.25">
      <c r="A84" s="557" t="s">
        <v>86</v>
      </c>
      <c r="B84" s="558"/>
      <c r="C84" s="558"/>
      <c r="D84" s="559"/>
      <c r="E84" s="29"/>
      <c r="F84" s="421">
        <f>856*('PPI Adj'!D6)</f>
        <v>998.952</v>
      </c>
      <c r="G84" s="29"/>
    </row>
    <row r="85" spans="1:7" ht="12.75" customHeight="1" x14ac:dyDescent="0.2">
      <c r="A85" s="557" t="s">
        <v>85</v>
      </c>
      <c r="B85" s="558"/>
      <c r="C85" s="558"/>
      <c r="D85" s="559"/>
      <c r="E85" s="29"/>
      <c r="F85" s="421">
        <f>6280*('PPI Adj'!D6)</f>
        <v>7328.76</v>
      </c>
      <c r="G85" s="5"/>
    </row>
    <row r="86" spans="1:7" x14ac:dyDescent="0.2">
      <c r="A86" s="557" t="s">
        <v>13</v>
      </c>
      <c r="B86" s="558"/>
      <c r="C86" s="558"/>
      <c r="D86" s="559"/>
      <c r="E86" s="29"/>
      <c r="F86" s="421">
        <f>10801*('PPI Adj'!D6)</f>
        <v>12604.767</v>
      </c>
      <c r="G86" s="5"/>
    </row>
    <row r="87" spans="1:7" ht="12.75" customHeight="1" x14ac:dyDescent="0.2">
      <c r="A87" s="557" t="s">
        <v>37</v>
      </c>
      <c r="B87" s="558"/>
      <c r="C87" s="558"/>
      <c r="D87" s="559"/>
      <c r="E87" s="30"/>
      <c r="F87" s="421">
        <f>500*('PPI Adj'!D6)</f>
        <v>583.5</v>
      </c>
      <c r="G87" s="5"/>
    </row>
    <row r="88" spans="1:7" x14ac:dyDescent="0.2">
      <c r="A88" s="557" t="s">
        <v>38</v>
      </c>
      <c r="B88" s="558"/>
      <c r="C88" s="558"/>
      <c r="D88" s="559"/>
      <c r="E88" s="30"/>
      <c r="F88" s="421">
        <f>662*('PPI Adj'!D6)</f>
        <v>772.55399999999997</v>
      </c>
      <c r="G88" s="5"/>
    </row>
    <row r="89" spans="1:7" x14ac:dyDescent="0.2">
      <c r="A89" s="557" t="s">
        <v>39</v>
      </c>
      <c r="B89" s="558"/>
      <c r="C89" s="558"/>
      <c r="D89" s="559"/>
      <c r="E89" s="29"/>
      <c r="F89" s="421">
        <f>882*('PPI Adj'!D6)</f>
        <v>1029.2940000000001</v>
      </c>
      <c r="G89" s="5"/>
    </row>
    <row r="90" spans="1:7" ht="12.75" customHeight="1" x14ac:dyDescent="0.2">
      <c r="A90" s="557" t="s">
        <v>90</v>
      </c>
      <c r="B90" s="558"/>
      <c r="C90" s="558"/>
      <c r="D90" s="559"/>
      <c r="E90" s="30"/>
      <c r="F90" s="421">
        <f>394.87*('PPI Adj'!D6)</f>
        <v>460.81328999999999</v>
      </c>
      <c r="G90" s="5"/>
    </row>
    <row r="91" spans="1:7" ht="12.75" customHeight="1" x14ac:dyDescent="0.2">
      <c r="A91" s="557" t="s">
        <v>88</v>
      </c>
      <c r="B91" s="558"/>
      <c r="C91" s="558"/>
      <c r="D91" s="559"/>
      <c r="E91" s="29"/>
      <c r="F91" s="421" t="s">
        <v>181</v>
      </c>
      <c r="G91" s="5"/>
    </row>
    <row r="92" spans="1:7" x14ac:dyDescent="0.2">
      <c r="A92" s="557" t="s">
        <v>40</v>
      </c>
      <c r="B92" s="558"/>
      <c r="C92" s="558"/>
      <c r="D92" s="559"/>
      <c r="E92" s="29"/>
      <c r="F92" s="421">
        <f>204*('PPI Adj'!D6)</f>
        <v>238.06800000000001</v>
      </c>
      <c r="G92" s="5"/>
    </row>
    <row r="93" spans="1:7" x14ac:dyDescent="0.2">
      <c r="A93" s="557" t="s">
        <v>14</v>
      </c>
      <c r="B93" s="558"/>
      <c r="C93" s="558"/>
      <c r="D93" s="559"/>
      <c r="E93" s="29"/>
      <c r="F93" s="421">
        <f>8330*('PPI Adj'!D6)</f>
        <v>9721.11</v>
      </c>
      <c r="G93" s="5"/>
    </row>
    <row r="94" spans="1:7" ht="12.75" customHeight="1" x14ac:dyDescent="0.2">
      <c r="A94" s="557" t="s">
        <v>91</v>
      </c>
      <c r="B94" s="558"/>
      <c r="C94" s="558"/>
      <c r="D94" s="559"/>
      <c r="E94" s="29"/>
      <c r="F94" s="422">
        <f>1971*('PPI Adj'!D6)</f>
        <v>2300.1570000000002</v>
      </c>
      <c r="G94" s="5"/>
    </row>
    <row r="95" spans="1:7" ht="12.75" customHeight="1" x14ac:dyDescent="0.2">
      <c r="A95" s="557" t="s">
        <v>272</v>
      </c>
      <c r="B95" s="558"/>
      <c r="C95" s="558"/>
      <c r="D95" s="559"/>
      <c r="E95" s="29"/>
      <c r="F95" s="421">
        <f>-1036*('PPI Adj'!D6)</f>
        <v>-1209.0119999999999</v>
      </c>
      <c r="G95" s="5"/>
    </row>
    <row r="96" spans="1:7" ht="13.5" customHeight="1" thickBot="1" x14ac:dyDescent="0.25">
      <c r="A96" s="735" t="s">
        <v>92</v>
      </c>
      <c r="B96" s="736"/>
      <c r="C96" s="736"/>
      <c r="D96" s="737"/>
      <c r="E96" s="30"/>
      <c r="F96" s="423">
        <f>-2023*('PPI Adj'!D6)</f>
        <v>-2360.8409999999999</v>
      </c>
      <c r="G96" s="5"/>
    </row>
    <row r="97" spans="1:6" ht="13.5" customHeight="1" thickBot="1" x14ac:dyDescent="0.25"/>
    <row r="98" spans="1:6" s="16" customFormat="1" ht="32.25" thickBot="1" x14ac:dyDescent="0.3">
      <c r="A98" s="536" t="s">
        <v>166</v>
      </c>
      <c r="B98" s="537"/>
      <c r="C98" s="537"/>
      <c r="D98" s="538"/>
      <c r="E98" s="33"/>
      <c r="F98" s="414" t="s">
        <v>329</v>
      </c>
    </row>
    <row r="99" spans="1:6" s="3" customFormat="1" ht="15" customHeight="1" thickBot="1" x14ac:dyDescent="0.3">
      <c r="A99" s="49" t="s">
        <v>33</v>
      </c>
      <c r="B99" s="19" t="s">
        <v>7</v>
      </c>
      <c r="C99" s="560" t="s">
        <v>165</v>
      </c>
      <c r="D99" s="561"/>
      <c r="E99" s="34"/>
      <c r="F99" s="415" t="s">
        <v>17</v>
      </c>
    </row>
    <row r="100" spans="1:6" s="13" customFormat="1" ht="27.95" customHeight="1" thickBot="1" x14ac:dyDescent="0.3">
      <c r="A100" s="50" t="s">
        <v>82</v>
      </c>
      <c r="B100" s="15" t="s">
        <v>130</v>
      </c>
      <c r="C100" s="562"/>
      <c r="D100" s="563"/>
      <c r="E100" s="30"/>
      <c r="F100" s="373"/>
    </row>
    <row r="101" spans="1:6" s="13" customFormat="1" ht="41.1" customHeight="1" thickBot="1" x14ac:dyDescent="0.3">
      <c r="A101" s="50" t="s">
        <v>83</v>
      </c>
      <c r="B101" s="18" t="s">
        <v>146</v>
      </c>
      <c r="C101" s="562"/>
      <c r="D101" s="563"/>
      <c r="E101" s="30"/>
      <c r="F101" s="373"/>
    </row>
    <row r="102" spans="1:6" s="13" customFormat="1" ht="27.95" customHeight="1" thickBot="1" x14ac:dyDescent="0.3">
      <c r="A102" s="47" t="s">
        <v>34</v>
      </c>
      <c r="B102" s="25" t="s">
        <v>107</v>
      </c>
      <c r="C102" s="543" t="s">
        <v>30</v>
      </c>
      <c r="D102" s="544"/>
      <c r="E102" s="29"/>
      <c r="F102" s="373" t="s">
        <v>349</v>
      </c>
    </row>
    <row r="103" spans="1:6" s="13" customFormat="1" ht="53.45" customHeight="1" thickBot="1" x14ac:dyDescent="0.3">
      <c r="A103" s="47" t="s">
        <v>35</v>
      </c>
      <c r="B103" s="25" t="s">
        <v>97</v>
      </c>
      <c r="C103" s="531"/>
      <c r="D103" s="532"/>
      <c r="E103" s="30"/>
      <c r="F103" s="367"/>
    </row>
    <row r="104" spans="1:6" s="13" customFormat="1" ht="30.6" customHeight="1" thickBot="1" x14ac:dyDescent="0.3">
      <c r="A104" s="47" t="s">
        <v>36</v>
      </c>
      <c r="B104" s="25" t="s">
        <v>84</v>
      </c>
      <c r="C104" s="543" t="s">
        <v>99</v>
      </c>
      <c r="D104" s="544"/>
      <c r="E104" s="29"/>
      <c r="F104" s="373" t="s">
        <v>384</v>
      </c>
    </row>
    <row r="105" spans="1:6" s="13" customFormat="1" ht="12.75" customHeight="1" x14ac:dyDescent="0.25">
      <c r="A105" s="517" t="s">
        <v>60</v>
      </c>
      <c r="B105" s="519" t="s">
        <v>133</v>
      </c>
      <c r="C105" s="521" t="s">
        <v>176</v>
      </c>
      <c r="D105" s="522"/>
      <c r="E105" s="29"/>
      <c r="F105" s="367" t="s">
        <v>368</v>
      </c>
    </row>
    <row r="106" spans="1:6" s="13" customFormat="1" ht="12.75" customHeight="1" x14ac:dyDescent="0.25">
      <c r="A106" s="525"/>
      <c r="B106" s="526"/>
      <c r="C106" s="527" t="s">
        <v>177</v>
      </c>
      <c r="D106" s="528"/>
      <c r="E106" s="29"/>
      <c r="F106" s="334">
        <v>2470</v>
      </c>
    </row>
    <row r="107" spans="1:6" s="13" customFormat="1" ht="12.75" customHeight="1" x14ac:dyDescent="0.25">
      <c r="A107" s="525"/>
      <c r="B107" s="526"/>
      <c r="C107" s="527" t="s">
        <v>114</v>
      </c>
      <c r="D107" s="528"/>
      <c r="E107" s="29"/>
      <c r="F107" s="334" t="s">
        <v>374</v>
      </c>
    </row>
    <row r="108" spans="1:6" s="13" customFormat="1" ht="30.75" customHeight="1" thickBot="1" x14ac:dyDescent="0.3">
      <c r="A108" s="518"/>
      <c r="B108" s="520"/>
      <c r="C108" s="515" t="s">
        <v>115</v>
      </c>
      <c r="D108" s="516"/>
      <c r="E108" s="29"/>
      <c r="F108" s="343" t="s">
        <v>353</v>
      </c>
    </row>
    <row r="109" spans="1:6" s="13" customFormat="1" ht="12.75" customHeight="1" x14ac:dyDescent="0.25">
      <c r="A109" s="517" t="s">
        <v>61</v>
      </c>
      <c r="B109" s="519" t="s">
        <v>134</v>
      </c>
      <c r="C109" s="521" t="s">
        <v>174</v>
      </c>
      <c r="D109" s="522"/>
      <c r="E109" s="29"/>
      <c r="F109" s="367" t="s">
        <v>368</v>
      </c>
    </row>
    <row r="110" spans="1:6" s="13" customFormat="1" ht="12.75" customHeight="1" x14ac:dyDescent="0.25">
      <c r="A110" s="525"/>
      <c r="B110" s="526"/>
      <c r="C110" s="527" t="s">
        <v>175</v>
      </c>
      <c r="D110" s="528"/>
      <c r="E110" s="29"/>
      <c r="F110" s="419">
        <v>2680</v>
      </c>
    </row>
    <row r="111" spans="1:6" s="13" customFormat="1" ht="12.75" customHeight="1" x14ac:dyDescent="0.25">
      <c r="A111" s="525"/>
      <c r="B111" s="526"/>
      <c r="C111" s="527" t="s">
        <v>176</v>
      </c>
      <c r="D111" s="528"/>
      <c r="E111" s="29"/>
      <c r="F111" s="419" t="s">
        <v>368</v>
      </c>
    </row>
    <row r="112" spans="1:6" s="13" customFormat="1" ht="12.75" customHeight="1" x14ac:dyDescent="0.25">
      <c r="A112" s="525"/>
      <c r="B112" s="526"/>
      <c r="C112" s="527" t="s">
        <v>177</v>
      </c>
      <c r="D112" s="528"/>
      <c r="E112" s="29"/>
      <c r="F112" s="334">
        <v>2470</v>
      </c>
    </row>
    <row r="113" spans="1:6" s="13" customFormat="1" ht="12.75" customHeight="1" x14ac:dyDescent="0.25">
      <c r="A113" s="525"/>
      <c r="B113" s="526"/>
      <c r="C113" s="527" t="s">
        <v>112</v>
      </c>
      <c r="D113" s="528"/>
      <c r="E113" s="29"/>
      <c r="F113" s="334" t="s">
        <v>355</v>
      </c>
    </row>
    <row r="114" spans="1:6" s="13" customFormat="1" ht="12.75" customHeight="1" x14ac:dyDescent="0.25">
      <c r="A114" s="525"/>
      <c r="B114" s="526"/>
      <c r="C114" s="527" t="s">
        <v>113</v>
      </c>
      <c r="D114" s="528"/>
      <c r="E114" s="29"/>
      <c r="F114" s="419" t="s">
        <v>356</v>
      </c>
    </row>
    <row r="115" spans="1:6" s="13" customFormat="1" ht="12.75" customHeight="1" x14ac:dyDescent="0.25">
      <c r="A115" s="525"/>
      <c r="B115" s="526"/>
      <c r="C115" s="527" t="s">
        <v>114</v>
      </c>
      <c r="D115" s="528"/>
      <c r="E115" s="29"/>
      <c r="F115" s="419" t="s">
        <v>355</v>
      </c>
    </row>
    <row r="116" spans="1:6" s="13" customFormat="1" ht="15.95" customHeight="1" thickBot="1" x14ac:dyDescent="0.3">
      <c r="A116" s="518"/>
      <c r="B116" s="520"/>
      <c r="C116" s="515" t="s">
        <v>115</v>
      </c>
      <c r="D116" s="516"/>
      <c r="E116" s="29"/>
      <c r="F116" s="343" t="s">
        <v>356</v>
      </c>
    </row>
    <row r="117" spans="1:6" s="13" customFormat="1" ht="145.5" customHeight="1" thickBot="1" x14ac:dyDescent="0.3">
      <c r="A117" s="51" t="s">
        <v>86</v>
      </c>
      <c r="B117" s="17" t="s">
        <v>143</v>
      </c>
      <c r="C117" s="543" t="s">
        <v>104</v>
      </c>
      <c r="D117" s="544"/>
      <c r="E117" s="29"/>
      <c r="F117" s="367" t="s">
        <v>357</v>
      </c>
    </row>
    <row r="118" spans="1:6" ht="168.6" customHeight="1" thickBot="1" x14ac:dyDescent="0.25">
      <c r="A118" s="47" t="s">
        <v>85</v>
      </c>
      <c r="B118" s="14" t="s">
        <v>170</v>
      </c>
      <c r="C118" s="543" t="s">
        <v>104</v>
      </c>
      <c r="D118" s="544"/>
      <c r="E118" s="29"/>
      <c r="F118" s="373" t="s">
        <v>357</v>
      </c>
    </row>
    <row r="119" spans="1:6" x14ac:dyDescent="0.2">
      <c r="A119" s="517" t="s">
        <v>13</v>
      </c>
      <c r="B119" s="519" t="s">
        <v>98</v>
      </c>
      <c r="C119" s="521" t="s">
        <v>30</v>
      </c>
      <c r="D119" s="522"/>
      <c r="E119" s="29"/>
      <c r="F119" s="367" t="s">
        <v>358</v>
      </c>
    </row>
    <row r="120" spans="1:6" ht="30.95" customHeight="1" thickBot="1" x14ac:dyDescent="0.25">
      <c r="A120" s="518"/>
      <c r="B120" s="520"/>
      <c r="C120" s="515" t="s">
        <v>109</v>
      </c>
      <c r="D120" s="516"/>
      <c r="E120" s="29"/>
      <c r="F120" s="343" t="s">
        <v>359</v>
      </c>
    </row>
    <row r="121" spans="1:6" ht="66.95" customHeight="1" thickBot="1" x14ac:dyDescent="0.25">
      <c r="A121" s="47" t="s">
        <v>37</v>
      </c>
      <c r="B121" s="25" t="s">
        <v>135</v>
      </c>
      <c r="C121" s="531"/>
      <c r="D121" s="532"/>
      <c r="E121" s="30"/>
      <c r="F121" s="373" t="s">
        <v>375</v>
      </c>
    </row>
    <row r="122" spans="1:6" ht="41.1" customHeight="1" thickBot="1" x14ac:dyDescent="0.25">
      <c r="A122" s="47" t="s">
        <v>38</v>
      </c>
      <c r="B122" s="25" t="s">
        <v>87</v>
      </c>
      <c r="C122" s="531"/>
      <c r="D122" s="532"/>
      <c r="E122" s="30"/>
      <c r="F122" s="373"/>
    </row>
    <row r="123" spans="1:6" ht="26.25" thickBot="1" x14ac:dyDescent="0.25">
      <c r="A123" s="47" t="s">
        <v>39</v>
      </c>
      <c r="B123" s="25" t="s">
        <v>106</v>
      </c>
      <c r="C123" s="543" t="s">
        <v>105</v>
      </c>
      <c r="D123" s="544"/>
      <c r="E123" s="29"/>
      <c r="F123" s="373" t="s">
        <v>207</v>
      </c>
    </row>
    <row r="124" spans="1:6" ht="40.5" customHeight="1" thickBot="1" x14ac:dyDescent="0.25">
      <c r="A124" s="47" t="s">
        <v>90</v>
      </c>
      <c r="B124" s="25" t="s">
        <v>129</v>
      </c>
      <c r="C124" s="531"/>
      <c r="D124" s="532"/>
      <c r="E124" s="30"/>
      <c r="F124" s="373"/>
    </row>
    <row r="125" spans="1:6" x14ac:dyDescent="0.2">
      <c r="A125" s="517" t="s">
        <v>88</v>
      </c>
      <c r="B125" s="519" t="s">
        <v>148</v>
      </c>
      <c r="C125" s="521" t="s">
        <v>100</v>
      </c>
      <c r="D125" s="522"/>
      <c r="E125" s="29"/>
      <c r="F125" s="367" t="s">
        <v>181</v>
      </c>
    </row>
    <row r="126" spans="1:6" ht="105" customHeight="1" thickBot="1" x14ac:dyDescent="0.25">
      <c r="A126" s="518"/>
      <c r="B126" s="520"/>
      <c r="C126" s="515" t="s">
        <v>110</v>
      </c>
      <c r="D126" s="516"/>
      <c r="E126" s="29"/>
      <c r="F126" s="424"/>
    </row>
    <row r="127" spans="1:6" ht="26.25" thickBot="1" x14ac:dyDescent="0.25">
      <c r="A127" s="47" t="s">
        <v>40</v>
      </c>
      <c r="B127" s="25" t="s">
        <v>137</v>
      </c>
      <c r="C127" s="543" t="s">
        <v>100</v>
      </c>
      <c r="D127" s="544"/>
      <c r="E127" s="29"/>
      <c r="F127" s="343" t="s">
        <v>360</v>
      </c>
    </row>
    <row r="128" spans="1:6" ht="54" customHeight="1" thickBot="1" x14ac:dyDescent="0.25">
      <c r="A128" s="47" t="s">
        <v>14</v>
      </c>
      <c r="B128" s="25" t="s">
        <v>138</v>
      </c>
      <c r="C128" s="543" t="s">
        <v>139</v>
      </c>
      <c r="D128" s="544"/>
      <c r="E128" s="29"/>
      <c r="F128" s="373">
        <v>2</v>
      </c>
    </row>
    <row r="129" spans="1:6" ht="66.95" customHeight="1" thickBot="1" x14ac:dyDescent="0.25">
      <c r="A129" s="47" t="s">
        <v>91</v>
      </c>
      <c r="B129" s="25" t="s">
        <v>144</v>
      </c>
      <c r="C129" s="543" t="s">
        <v>100</v>
      </c>
      <c r="D129" s="544"/>
      <c r="E129" s="29"/>
      <c r="F129" s="373" t="s">
        <v>361</v>
      </c>
    </row>
    <row r="130" spans="1:6" ht="65.45" customHeight="1" thickBot="1" x14ac:dyDescent="0.25">
      <c r="A130" s="47" t="s">
        <v>92</v>
      </c>
      <c r="B130" s="25" t="s">
        <v>145</v>
      </c>
      <c r="C130" s="531"/>
      <c r="D130" s="532"/>
      <c r="E130" s="30"/>
      <c r="F130" s="373"/>
    </row>
  </sheetData>
  <sheetProtection algorithmName="SHA-512" hashValue="JknYNs2VDQesUT/ek8lZuXwtDEUe8Y35i4K2W0/QB5UPQPYBfAIkgRC++iEiubH4h6bQ5I13XKf6bp+llB0miA==" saltValue="Ch9Qq9vL1cLRsZDwP27kEA==" spinCount="100000" sheet="1" objects="1" scenarios="1"/>
  <dataConsolidate/>
  <mergeCells count="145">
    <mergeCell ref="B23:D23"/>
    <mergeCell ref="A25:D25"/>
    <mergeCell ref="C27:D27"/>
    <mergeCell ref="A28:A29"/>
    <mergeCell ref="B28:B29"/>
    <mergeCell ref="C28:D28"/>
    <mergeCell ref="C29:D29"/>
    <mergeCell ref="C30:D30"/>
    <mergeCell ref="A3:D3"/>
    <mergeCell ref="A4:D4"/>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A49:A51"/>
    <mergeCell ref="B49:B51"/>
    <mergeCell ref="C49:D49"/>
    <mergeCell ref="C50:D50"/>
    <mergeCell ref="C51:D51"/>
    <mergeCell ref="A31:A35"/>
    <mergeCell ref="B31:B35"/>
    <mergeCell ref="C31:D31"/>
    <mergeCell ref="C32:D32"/>
    <mergeCell ref="C33:D33"/>
    <mergeCell ref="C34:D34"/>
    <mergeCell ref="C35:D35"/>
    <mergeCell ref="A36:A37"/>
    <mergeCell ref="B36:B37"/>
    <mergeCell ref="C36:D36"/>
    <mergeCell ref="C37:D37"/>
    <mergeCell ref="A38:A39"/>
    <mergeCell ref="B38:B39"/>
    <mergeCell ref="C38:D38"/>
    <mergeCell ref="C39:D39"/>
    <mergeCell ref="C40:D40"/>
    <mergeCell ref="A41:A48"/>
    <mergeCell ref="B41:B48"/>
    <mergeCell ref="C41:D41"/>
    <mergeCell ref="C42:D42"/>
    <mergeCell ref="C43:D43"/>
    <mergeCell ref="C44:D44"/>
    <mergeCell ref="C45:D45"/>
    <mergeCell ref="C46:D46"/>
    <mergeCell ref="C47:D47"/>
    <mergeCell ref="C48:D48"/>
    <mergeCell ref="C64:D64"/>
    <mergeCell ref="C65:D65"/>
    <mergeCell ref="C66:D66"/>
    <mergeCell ref="C67:D67"/>
    <mergeCell ref="C68:D68"/>
    <mergeCell ref="C52:D52"/>
    <mergeCell ref="A53:A54"/>
    <mergeCell ref="B53:B54"/>
    <mergeCell ref="C53:D53"/>
    <mergeCell ref="C54:D54"/>
    <mergeCell ref="A55:A57"/>
    <mergeCell ref="B55:B57"/>
    <mergeCell ref="C55:D55"/>
    <mergeCell ref="C56:D56"/>
    <mergeCell ref="C57:D57"/>
    <mergeCell ref="C58:D58"/>
    <mergeCell ref="C59:D59"/>
    <mergeCell ref="C60:D60"/>
    <mergeCell ref="C61:D61"/>
    <mergeCell ref="C62:D62"/>
    <mergeCell ref="C63:D63"/>
    <mergeCell ref="A85:D85"/>
    <mergeCell ref="A76:D76"/>
    <mergeCell ref="A77:D77"/>
    <mergeCell ref="A78:D78"/>
    <mergeCell ref="A79:D79"/>
    <mergeCell ref="A92:D92"/>
    <mergeCell ref="C69:D69"/>
    <mergeCell ref="A80:D80"/>
    <mergeCell ref="A81:D81"/>
    <mergeCell ref="A82:D82"/>
    <mergeCell ref="A83:D83"/>
    <mergeCell ref="A84:D84"/>
    <mergeCell ref="C70:D70"/>
    <mergeCell ref="C71:D71"/>
    <mergeCell ref="C72:D72"/>
    <mergeCell ref="C73:D73"/>
    <mergeCell ref="A75:D75"/>
    <mergeCell ref="A93:D93"/>
    <mergeCell ref="A94:D94"/>
    <mergeCell ref="A98:D98"/>
    <mergeCell ref="A86:D86"/>
    <mergeCell ref="A87:D87"/>
    <mergeCell ref="A88:D88"/>
    <mergeCell ref="A89:D89"/>
    <mergeCell ref="A90:D90"/>
    <mergeCell ref="A91:D91"/>
    <mergeCell ref="A96:D96"/>
    <mergeCell ref="A95:D95"/>
    <mergeCell ref="A105:A108"/>
    <mergeCell ref="B105:B108"/>
    <mergeCell ref="C105:D105"/>
    <mergeCell ref="C106:D106"/>
    <mergeCell ref="C107:D107"/>
    <mergeCell ref="C108:D108"/>
    <mergeCell ref="A109:A116"/>
    <mergeCell ref="B109:B116"/>
    <mergeCell ref="C109:D109"/>
    <mergeCell ref="C110:D110"/>
    <mergeCell ref="C111:D111"/>
    <mergeCell ref="C112:D112"/>
    <mergeCell ref="C130:D130"/>
    <mergeCell ref="C121:D121"/>
    <mergeCell ref="C122:D122"/>
    <mergeCell ref="C123:D123"/>
    <mergeCell ref="C124:D124"/>
    <mergeCell ref="A119:A120"/>
    <mergeCell ref="B119:B120"/>
    <mergeCell ref="C119:D119"/>
    <mergeCell ref="C120:D120"/>
    <mergeCell ref="A125:A126"/>
    <mergeCell ref="B125:B126"/>
    <mergeCell ref="C125:D125"/>
    <mergeCell ref="C126:D126"/>
    <mergeCell ref="C127:D127"/>
    <mergeCell ref="C128:D128"/>
    <mergeCell ref="C129:D129"/>
    <mergeCell ref="C99:D99"/>
    <mergeCell ref="C100:D100"/>
    <mergeCell ref="C101:D101"/>
    <mergeCell ref="C102:D102"/>
    <mergeCell ref="C117:D117"/>
    <mergeCell ref="C118:D118"/>
    <mergeCell ref="C113:D113"/>
    <mergeCell ref="C114:D114"/>
    <mergeCell ref="C115:D115"/>
    <mergeCell ref="C116:D116"/>
    <mergeCell ref="C103:D103"/>
    <mergeCell ref="C104:D104"/>
  </mergeCells>
  <conditionalFormatting sqref="C52 C60">
    <cfRule type="expression" dxfId="144" priority="105">
      <formula>#REF!="NO"</formula>
    </cfRule>
  </conditionalFormatting>
  <conditionalFormatting sqref="C100:F130">
    <cfRule type="expression" dxfId="143" priority="13">
      <formula>#REF!="NO"</formula>
    </cfRule>
  </conditionalFormatting>
  <conditionalFormatting sqref="C27:G73">
    <cfRule type="expression" dxfId="142" priority="15">
      <formula>#REF!="NO"</formula>
    </cfRule>
  </conditionalFormatting>
  <conditionalFormatting sqref="E77:F96">
    <cfRule type="expression" dxfId="141" priority="1">
      <formula>#REF!="NO"</formula>
    </cfRule>
  </conditionalFormatting>
  <conditionalFormatting sqref="F8:F17">
    <cfRule type="expression" dxfId="140" priority="34">
      <formula>#REF!="NO"</formula>
    </cfRule>
  </conditionalFormatting>
  <conditionalFormatting sqref="F21:F23">
    <cfRule type="expression" dxfId="139" priority="35">
      <formula>#REF!="NO"</formula>
    </cfRule>
  </conditionalFormatting>
  <dataValidations count="3">
    <dataValidation type="decimal" operator="greaterThanOrEqual" allowBlank="1" showInputMessage="1" showErrorMessage="1" error="The Pickup Allowance cannot be a negative number." sqref="F16" xr:uid="{00000000-0002-0000-0500-000002000000}">
      <formula1>0</formula1>
    </dataValidation>
    <dataValidation type="decimal" allowBlank="1" showInputMessage="1" showErrorMessage="1" error="Invalid Entry - Bidder must enter a value that is greater than $0" sqref="F21:F22" xr:uid="{00000000-0002-0000-0500-000001000000}">
      <formula1>0</formula1>
      <formula2>9E+21</formula2>
    </dataValidation>
    <dataValidation type="decimal" allowBlank="1" showInputMessage="1" showErrorMessage="1" error="The Additional Options NYS Discount entered must be greater than 0%, or less than or equal to 100%." sqref="F23" xr:uid="{00000000-0002-0000-0500-000000000000}">
      <formula1>0.01</formula1>
      <formula2>100</formula2>
    </dataValidation>
  </dataValidations>
  <pageMargins left="0.25" right="0.25" top="0.5" bottom="0.25" header="0.3" footer="0.3"/>
  <pageSetup scale="93" fitToHeight="0" orientation="landscape" r:id="rId1"/>
  <rowBreaks count="4" manualBreakCount="4">
    <brk id="27" max="9" man="1"/>
    <brk id="54" max="8" man="1"/>
    <brk id="73" max="8" man="1"/>
    <brk id="108"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tabColor theme="5" tint="0.59999389629810485"/>
    <pageSetUpPr autoPageBreaks="0" fitToPage="1"/>
  </sheetPr>
  <dimension ref="A1:I135"/>
  <sheetViews>
    <sheetView showGridLines="0" zoomScaleNormal="100" zoomScaleSheetLayoutView="80" workbookViewId="0">
      <selection activeCell="A3" sqref="A3:D3"/>
    </sheetView>
  </sheetViews>
  <sheetFormatPr defaultColWidth="9.140625" defaultRowHeight="12.75" x14ac:dyDescent="0.2"/>
  <cols>
    <col min="1" max="1" width="35" style="2" customWidth="1"/>
    <col min="2" max="2" width="62.85546875" style="2" customWidth="1"/>
    <col min="3" max="3" width="14.7109375" style="2" customWidth="1"/>
    <col min="4" max="4" width="22" style="2" customWidth="1"/>
    <col min="5" max="5" width="2.7109375" style="2" customWidth="1"/>
    <col min="6" max="6" width="21.7109375" style="385" bestFit="1" customWidth="1"/>
    <col min="7" max="16384" width="9.140625" style="2"/>
  </cols>
  <sheetData>
    <row r="1" spans="1:9" ht="18" customHeight="1" x14ac:dyDescent="0.2">
      <c r="A1" s="300" t="str">
        <f>'A (Item 2-G)'!$A$1</f>
        <v>GROUP 40524-23254, SCHOOL BUSES (Statewide)                                                             Attachment 1 - Specifications and Pricing (Revised October 15, 2026)</v>
      </c>
      <c r="F1" s="301"/>
    </row>
    <row r="2" spans="1:9" s="20" customFormat="1" ht="18" customHeight="1" thickBot="1" x14ac:dyDescent="0.3">
      <c r="A2" s="302" t="str">
        <f>'Attachment 1 - Summary'!B2</f>
        <v>PC69863 Nesco Bus and Truck Sales, Inc.</v>
      </c>
      <c r="B2" s="21"/>
      <c r="C2" s="21"/>
      <c r="D2" s="21"/>
      <c r="E2" s="21"/>
      <c r="F2" s="303"/>
    </row>
    <row r="3" spans="1:9" ht="24" thickBot="1" x14ac:dyDescent="0.25">
      <c r="A3" s="744" t="s">
        <v>260</v>
      </c>
      <c r="B3" s="745"/>
      <c r="C3" s="745"/>
      <c r="D3" s="746"/>
      <c r="E3" s="8"/>
      <c r="F3" s="304"/>
    </row>
    <row r="4" spans="1:9" ht="51" customHeight="1" thickBot="1" x14ac:dyDescent="0.25">
      <c r="A4" s="506" t="s">
        <v>259</v>
      </c>
      <c r="B4" s="507"/>
      <c r="C4" s="507"/>
      <c r="D4" s="508"/>
      <c r="E4" s="8"/>
      <c r="F4" s="304"/>
    </row>
    <row r="5" spans="1:9" s="4" customFormat="1" ht="11.25" customHeight="1" thickBot="1" x14ac:dyDescent="0.3">
      <c r="A5" s="411"/>
      <c r="B5" s="411"/>
      <c r="C5" s="411"/>
      <c r="D5" s="411"/>
      <c r="E5" s="411"/>
      <c r="F5" s="413"/>
    </row>
    <row r="6" spans="1:9" s="7" customFormat="1" ht="32.25" thickBot="1" x14ac:dyDescent="0.25">
      <c r="A6" s="509" t="s">
        <v>151</v>
      </c>
      <c r="B6" s="510"/>
      <c r="C6" s="510"/>
      <c r="D6" s="511"/>
      <c r="E6" s="31"/>
      <c r="F6" s="414" t="s">
        <v>389</v>
      </c>
    </row>
    <row r="7" spans="1:9" s="4" customFormat="1" ht="15" customHeight="1" thickBot="1" x14ac:dyDescent="0.3">
      <c r="A7" s="37" t="s">
        <v>6</v>
      </c>
      <c r="B7" s="22" t="s">
        <v>165</v>
      </c>
      <c r="C7" s="27"/>
      <c r="D7" s="35"/>
      <c r="E7" s="32"/>
      <c r="F7" s="415" t="s">
        <v>19</v>
      </c>
    </row>
    <row r="8" spans="1:9" ht="65.25" thickTop="1" thickBot="1" x14ac:dyDescent="0.25">
      <c r="A8" s="38" t="s">
        <v>9</v>
      </c>
      <c r="B8" s="500" t="s">
        <v>152</v>
      </c>
      <c r="C8" s="501"/>
      <c r="D8" s="502"/>
      <c r="E8" s="13"/>
      <c r="F8" s="324" t="s">
        <v>390</v>
      </c>
    </row>
    <row r="9" spans="1:9" s="7" customFormat="1" ht="39.6" customHeight="1" thickTop="1" thickBot="1" x14ac:dyDescent="0.25">
      <c r="A9" s="38" t="s">
        <v>136</v>
      </c>
      <c r="B9" s="500" t="s">
        <v>191</v>
      </c>
      <c r="C9" s="501"/>
      <c r="D9" s="502"/>
      <c r="E9" s="13"/>
      <c r="F9" s="324" t="s">
        <v>391</v>
      </c>
    </row>
    <row r="10" spans="1:9" ht="14.1" customHeight="1" thickTop="1" x14ac:dyDescent="0.2">
      <c r="A10" s="39" t="s">
        <v>0</v>
      </c>
      <c r="B10" s="491" t="s">
        <v>154</v>
      </c>
      <c r="C10" s="492"/>
      <c r="D10" s="493"/>
      <c r="E10" s="13"/>
      <c r="F10" s="334" t="s">
        <v>392</v>
      </c>
    </row>
    <row r="11" spans="1:9" x14ac:dyDescent="0.2">
      <c r="A11" s="39" t="s">
        <v>1</v>
      </c>
      <c r="B11" s="491" t="s">
        <v>153</v>
      </c>
      <c r="C11" s="492"/>
      <c r="D11" s="493"/>
      <c r="E11" s="13"/>
      <c r="F11" s="334" t="s">
        <v>393</v>
      </c>
    </row>
    <row r="12" spans="1:9" ht="15" customHeight="1" thickBot="1" x14ac:dyDescent="0.25">
      <c r="A12" s="40" t="s">
        <v>2</v>
      </c>
      <c r="B12" s="494" t="s">
        <v>155</v>
      </c>
      <c r="C12" s="495"/>
      <c r="D12" s="496"/>
      <c r="E12" s="13"/>
      <c r="F12" s="336" t="s">
        <v>394</v>
      </c>
      <c r="I12" s="2" t="s">
        <v>258</v>
      </c>
    </row>
    <row r="13" spans="1:9" ht="13.5" thickTop="1" x14ac:dyDescent="0.2">
      <c r="A13" s="39" t="s">
        <v>3</v>
      </c>
      <c r="B13" s="491" t="s">
        <v>157</v>
      </c>
      <c r="C13" s="492"/>
      <c r="D13" s="493"/>
      <c r="E13" s="13"/>
      <c r="F13" s="334" t="s">
        <v>334</v>
      </c>
    </row>
    <row r="14" spans="1:9" x14ac:dyDescent="0.2">
      <c r="A14" s="39" t="s">
        <v>4</v>
      </c>
      <c r="B14" s="491" t="s">
        <v>156</v>
      </c>
      <c r="C14" s="492"/>
      <c r="D14" s="493"/>
      <c r="E14" s="13"/>
      <c r="F14" s="334" t="s">
        <v>395</v>
      </c>
    </row>
    <row r="15" spans="1:9" ht="15.75" customHeight="1" thickBot="1" x14ac:dyDescent="0.25">
      <c r="A15" s="41" t="s">
        <v>5</v>
      </c>
      <c r="B15" s="494" t="s">
        <v>158</v>
      </c>
      <c r="C15" s="495"/>
      <c r="D15" s="496"/>
      <c r="E15" s="13"/>
      <c r="F15" s="341" t="s">
        <v>396</v>
      </c>
    </row>
    <row r="16" spans="1:9" ht="29.25" customHeight="1" thickTop="1" x14ac:dyDescent="0.2">
      <c r="A16" s="39" t="s">
        <v>101</v>
      </c>
      <c r="B16" s="497" t="s">
        <v>160</v>
      </c>
      <c r="C16" s="498"/>
      <c r="D16" s="499"/>
      <c r="E16" s="13"/>
      <c r="F16" s="342">
        <v>100</v>
      </c>
    </row>
    <row r="17" spans="1:6" ht="30.75" customHeight="1" thickBot="1" x14ac:dyDescent="0.25">
      <c r="A17" s="41" t="s">
        <v>43</v>
      </c>
      <c r="B17" s="494" t="s">
        <v>159</v>
      </c>
      <c r="C17" s="495"/>
      <c r="D17" s="496"/>
      <c r="E17" s="13"/>
      <c r="F17" s="341" t="s">
        <v>366</v>
      </c>
    </row>
    <row r="18" spans="1:6" s="9" customFormat="1" ht="14.25" thickTop="1" thickBot="1" x14ac:dyDescent="0.25">
      <c r="C18" s="10"/>
      <c r="D18" s="10"/>
      <c r="E18" s="10"/>
      <c r="F18" s="345"/>
    </row>
    <row r="19" spans="1:6" s="11" customFormat="1" ht="32.25" thickBot="1" x14ac:dyDescent="0.25">
      <c r="A19" s="509" t="s">
        <v>150</v>
      </c>
      <c r="B19" s="510"/>
      <c r="C19" s="510"/>
      <c r="D19" s="511"/>
      <c r="E19" s="31"/>
      <c r="F19" s="414" t="s">
        <v>389</v>
      </c>
    </row>
    <row r="20" spans="1:6" s="4" customFormat="1" ht="15" customHeight="1" thickBot="1" x14ac:dyDescent="0.3">
      <c r="A20" s="52" t="s">
        <v>6</v>
      </c>
      <c r="B20" s="26" t="s">
        <v>165</v>
      </c>
      <c r="C20" s="28"/>
      <c r="D20" s="45"/>
      <c r="E20" s="32"/>
      <c r="F20" s="415" t="s">
        <v>19</v>
      </c>
    </row>
    <row r="21" spans="1:6" ht="56.25" customHeight="1" x14ac:dyDescent="0.2">
      <c r="A21" s="42" t="s">
        <v>42</v>
      </c>
      <c r="B21" s="512" t="s">
        <v>161</v>
      </c>
      <c r="C21" s="513"/>
      <c r="D21" s="514"/>
      <c r="E21" s="13"/>
      <c r="F21" s="416">
        <f>116565.17*('PPI Adj'!D6)</f>
        <v>136031.55339000002</v>
      </c>
    </row>
    <row r="22" spans="1:6" ht="33" customHeight="1" thickBot="1" x14ac:dyDescent="0.25">
      <c r="A22" s="43" t="s">
        <v>41</v>
      </c>
      <c r="B22" s="533" t="s">
        <v>163</v>
      </c>
      <c r="C22" s="534"/>
      <c r="D22" s="535"/>
      <c r="E22" s="1"/>
      <c r="F22" s="354">
        <v>20</v>
      </c>
    </row>
    <row r="23" spans="1:6" ht="13.5" thickBot="1" x14ac:dyDescent="0.25">
      <c r="A23" s="69"/>
      <c r="B23" s="1"/>
      <c r="C23" s="1"/>
      <c r="D23" s="1"/>
      <c r="E23" s="1"/>
      <c r="F23" s="418"/>
    </row>
    <row r="24" spans="1:6" s="7" customFormat="1" ht="32.25" thickBot="1" x14ac:dyDescent="0.25">
      <c r="A24" s="536" t="s">
        <v>164</v>
      </c>
      <c r="B24" s="537"/>
      <c r="C24" s="537"/>
      <c r="D24" s="538"/>
      <c r="E24" s="33"/>
      <c r="F24" s="414" t="s">
        <v>389</v>
      </c>
    </row>
    <row r="25" spans="1:6" s="3" customFormat="1" ht="32.25" customHeight="1" thickBot="1" x14ac:dyDescent="0.3">
      <c r="A25" s="52" t="s">
        <v>6</v>
      </c>
      <c r="B25" s="53" t="s">
        <v>7</v>
      </c>
      <c r="C25" s="539" t="s">
        <v>165</v>
      </c>
      <c r="D25" s="540"/>
      <c r="E25" s="34"/>
      <c r="F25" s="415" t="s">
        <v>19</v>
      </c>
    </row>
    <row r="26" spans="1:6" s="13" customFormat="1" ht="81" customHeight="1" thickBot="1" x14ac:dyDescent="0.3">
      <c r="A26" s="46" t="s">
        <v>8</v>
      </c>
      <c r="B26" s="24" t="s">
        <v>257</v>
      </c>
      <c r="C26" s="515" t="s">
        <v>118</v>
      </c>
      <c r="D26" s="516"/>
      <c r="E26" s="29"/>
      <c r="F26" s="343">
        <v>25500</v>
      </c>
    </row>
    <row r="27" spans="1:6" s="13" customFormat="1" x14ac:dyDescent="0.25">
      <c r="A27" s="517" t="s">
        <v>21</v>
      </c>
      <c r="B27" s="519" t="s">
        <v>256</v>
      </c>
      <c r="C27" s="521" t="s">
        <v>67</v>
      </c>
      <c r="D27" s="522"/>
      <c r="E27" s="29"/>
      <c r="F27" s="367">
        <v>5</v>
      </c>
    </row>
    <row r="28" spans="1:6" s="13" customFormat="1" ht="54" customHeight="1" thickBot="1" x14ac:dyDescent="0.3">
      <c r="A28" s="518"/>
      <c r="B28" s="520"/>
      <c r="C28" s="515" t="s">
        <v>68</v>
      </c>
      <c r="D28" s="516"/>
      <c r="E28" s="29"/>
      <c r="F28" s="343">
        <v>30</v>
      </c>
    </row>
    <row r="29" spans="1:6" s="13" customFormat="1" ht="13.5" thickBot="1" x14ac:dyDescent="0.3">
      <c r="A29" s="47" t="s">
        <v>123</v>
      </c>
      <c r="B29" s="25" t="s">
        <v>108</v>
      </c>
      <c r="C29" s="531"/>
      <c r="D29" s="532"/>
      <c r="E29" s="30"/>
      <c r="F29" s="373"/>
    </row>
    <row r="30" spans="1:6" s="13" customFormat="1" x14ac:dyDescent="0.25">
      <c r="A30" s="517" t="s">
        <v>59</v>
      </c>
      <c r="B30" s="519"/>
      <c r="C30" s="521" t="s">
        <v>58</v>
      </c>
      <c r="D30" s="522"/>
      <c r="E30" s="29"/>
      <c r="F30" s="367">
        <v>158</v>
      </c>
    </row>
    <row r="31" spans="1:6" s="13" customFormat="1" x14ac:dyDescent="0.25">
      <c r="A31" s="525"/>
      <c r="B31" s="526"/>
      <c r="C31" s="527" t="s">
        <v>57</v>
      </c>
      <c r="D31" s="528"/>
      <c r="E31" s="29"/>
      <c r="F31" s="334">
        <v>299.8</v>
      </c>
    </row>
    <row r="32" spans="1:6" s="13" customFormat="1" x14ac:dyDescent="0.25">
      <c r="A32" s="525"/>
      <c r="B32" s="526"/>
      <c r="C32" s="527" t="s">
        <v>69</v>
      </c>
      <c r="D32" s="528"/>
      <c r="E32" s="29"/>
      <c r="F32" s="334">
        <v>90</v>
      </c>
    </row>
    <row r="33" spans="1:6" s="13" customFormat="1" x14ac:dyDescent="0.25">
      <c r="A33" s="525"/>
      <c r="B33" s="526"/>
      <c r="C33" s="529" t="s">
        <v>70</v>
      </c>
      <c r="D33" s="530"/>
      <c r="E33" s="29"/>
      <c r="F33" s="334">
        <v>78</v>
      </c>
    </row>
    <row r="34" spans="1:6" s="13" customFormat="1" ht="15.6" customHeight="1" thickBot="1" x14ac:dyDescent="0.3">
      <c r="A34" s="518"/>
      <c r="B34" s="520"/>
      <c r="C34" s="515" t="s">
        <v>111</v>
      </c>
      <c r="D34" s="516"/>
      <c r="E34" s="29"/>
      <c r="F34" s="343">
        <v>255</v>
      </c>
    </row>
    <row r="35" spans="1:6" s="13" customFormat="1" ht="15.95" customHeight="1" thickBot="1" x14ac:dyDescent="0.3">
      <c r="A35" s="47" t="s">
        <v>224</v>
      </c>
      <c r="B35" s="25" t="s">
        <v>223</v>
      </c>
      <c r="C35" s="531"/>
      <c r="D35" s="532"/>
      <c r="E35" s="30"/>
      <c r="F35" s="373"/>
    </row>
    <row r="36" spans="1:6" s="13" customFormat="1" ht="15.6" customHeight="1" x14ac:dyDescent="0.25">
      <c r="A36" s="517" t="s">
        <v>11</v>
      </c>
      <c r="B36" s="519"/>
      <c r="C36" s="521" t="s">
        <v>24</v>
      </c>
      <c r="D36" s="522"/>
      <c r="E36" s="29"/>
      <c r="F36" s="367">
        <v>8000</v>
      </c>
    </row>
    <row r="37" spans="1:6" s="13" customFormat="1" ht="15.6" customHeight="1" thickBot="1" x14ac:dyDescent="0.3">
      <c r="A37" s="518"/>
      <c r="B37" s="520"/>
      <c r="C37" s="515" t="s">
        <v>22</v>
      </c>
      <c r="D37" s="516"/>
      <c r="E37" s="29"/>
      <c r="F37" s="343">
        <v>8000</v>
      </c>
    </row>
    <row r="38" spans="1:6" s="13" customFormat="1" ht="15" customHeight="1" x14ac:dyDescent="0.25">
      <c r="A38" s="517" t="s">
        <v>16</v>
      </c>
      <c r="B38" s="519"/>
      <c r="C38" s="521" t="s">
        <v>24</v>
      </c>
      <c r="D38" s="522"/>
      <c r="E38" s="29"/>
      <c r="F38" s="367">
        <v>17500</v>
      </c>
    </row>
    <row r="39" spans="1:6" s="13" customFormat="1" ht="15.6" customHeight="1" thickBot="1" x14ac:dyDescent="0.3">
      <c r="A39" s="518"/>
      <c r="B39" s="520"/>
      <c r="C39" s="523" t="s">
        <v>23</v>
      </c>
      <c r="D39" s="524"/>
      <c r="E39" s="29"/>
      <c r="F39" s="343">
        <v>17500</v>
      </c>
    </row>
    <row r="40" spans="1:6" s="13" customFormat="1" ht="15.6" customHeight="1" thickBot="1" x14ac:dyDescent="0.3">
      <c r="A40" s="47" t="s">
        <v>52</v>
      </c>
      <c r="B40" s="25" t="s">
        <v>53</v>
      </c>
      <c r="C40" s="531"/>
      <c r="D40" s="532"/>
      <c r="E40" s="30"/>
      <c r="F40" s="373"/>
    </row>
    <row r="41" spans="1:6" s="13" customFormat="1" x14ac:dyDescent="0.25">
      <c r="A41" s="517" t="s">
        <v>219</v>
      </c>
      <c r="B41" s="519" t="s">
        <v>222</v>
      </c>
      <c r="C41" s="521" t="s">
        <v>221</v>
      </c>
      <c r="D41" s="522"/>
      <c r="E41" s="29"/>
      <c r="F41" s="367" t="s">
        <v>255</v>
      </c>
    </row>
    <row r="42" spans="1:6" s="13" customFormat="1" ht="14.45" customHeight="1" x14ac:dyDescent="0.25">
      <c r="A42" s="525"/>
      <c r="B42" s="526"/>
      <c r="C42" s="527" t="s">
        <v>220</v>
      </c>
      <c r="D42" s="528"/>
      <c r="E42" s="29"/>
      <c r="F42" s="334" t="s">
        <v>397</v>
      </c>
    </row>
    <row r="43" spans="1:6" s="13" customFormat="1" ht="80.45" customHeight="1" thickBot="1" x14ac:dyDescent="0.3">
      <c r="A43" s="518"/>
      <c r="B43" s="526"/>
      <c r="C43" s="523"/>
      <c r="D43" s="524"/>
      <c r="E43" s="29"/>
      <c r="F43" s="329"/>
    </row>
    <row r="44" spans="1:6" s="13" customFormat="1" ht="28.5" customHeight="1" thickBot="1" x14ac:dyDescent="0.3">
      <c r="A44" s="47" t="s">
        <v>219</v>
      </c>
      <c r="B44" s="25" t="s">
        <v>218</v>
      </c>
      <c r="C44" s="531"/>
      <c r="D44" s="532"/>
      <c r="E44" s="30"/>
      <c r="F44" s="373"/>
    </row>
    <row r="45" spans="1:6" s="13" customFormat="1" ht="13.5" thickBot="1" x14ac:dyDescent="0.3">
      <c r="A45" s="541" t="s">
        <v>12</v>
      </c>
      <c r="B45" s="542" t="s">
        <v>142</v>
      </c>
      <c r="C45" s="521" t="s">
        <v>174</v>
      </c>
      <c r="D45" s="522"/>
      <c r="E45" s="29"/>
      <c r="F45" s="367" t="s">
        <v>398</v>
      </c>
    </row>
    <row r="46" spans="1:6" s="13" customFormat="1" ht="13.5" thickBot="1" x14ac:dyDescent="0.3">
      <c r="A46" s="541"/>
      <c r="B46" s="542"/>
      <c r="C46" s="527" t="s">
        <v>175</v>
      </c>
      <c r="D46" s="528"/>
      <c r="E46" s="29"/>
      <c r="F46" s="334">
        <v>5675</v>
      </c>
    </row>
    <row r="47" spans="1:6" s="13" customFormat="1" ht="13.5" thickBot="1" x14ac:dyDescent="0.3">
      <c r="A47" s="541"/>
      <c r="B47" s="542"/>
      <c r="C47" s="527" t="s">
        <v>176</v>
      </c>
      <c r="D47" s="528"/>
      <c r="E47" s="29"/>
      <c r="F47" s="419" t="s">
        <v>398</v>
      </c>
    </row>
    <row r="48" spans="1:6" s="13" customFormat="1" ht="13.5" thickBot="1" x14ac:dyDescent="0.3">
      <c r="A48" s="541"/>
      <c r="B48" s="542"/>
      <c r="C48" s="527" t="s">
        <v>177</v>
      </c>
      <c r="D48" s="528"/>
      <c r="E48" s="29"/>
      <c r="F48" s="334">
        <v>5355</v>
      </c>
    </row>
    <row r="49" spans="1:6" s="13" customFormat="1" ht="13.5" thickBot="1" x14ac:dyDescent="0.3">
      <c r="A49" s="541"/>
      <c r="B49" s="542"/>
      <c r="C49" s="527" t="s">
        <v>112</v>
      </c>
      <c r="D49" s="528"/>
      <c r="E49" s="29"/>
      <c r="F49" s="334" t="s">
        <v>399</v>
      </c>
    </row>
    <row r="50" spans="1:6" s="13" customFormat="1" ht="13.5" thickBot="1" x14ac:dyDescent="0.3">
      <c r="A50" s="541"/>
      <c r="B50" s="542"/>
      <c r="C50" s="527" t="s">
        <v>113</v>
      </c>
      <c r="D50" s="528"/>
      <c r="E50" s="29"/>
      <c r="F50" s="334" t="s">
        <v>400</v>
      </c>
    </row>
    <row r="51" spans="1:6" s="13" customFormat="1" ht="13.5" thickBot="1" x14ac:dyDescent="0.3">
      <c r="A51" s="541"/>
      <c r="B51" s="542"/>
      <c r="C51" s="529" t="s">
        <v>114</v>
      </c>
      <c r="D51" s="530"/>
      <c r="E51" s="29"/>
      <c r="F51" s="334" t="s">
        <v>401</v>
      </c>
    </row>
    <row r="52" spans="1:6" s="13" customFormat="1" ht="14.45" customHeight="1" thickBot="1" x14ac:dyDescent="0.3">
      <c r="A52" s="541"/>
      <c r="B52" s="542"/>
      <c r="C52" s="515" t="s">
        <v>115</v>
      </c>
      <c r="D52" s="516"/>
      <c r="E52" s="29"/>
      <c r="F52" s="343" t="s">
        <v>400</v>
      </c>
    </row>
    <row r="53" spans="1:6" s="13" customFormat="1" ht="15" customHeight="1" x14ac:dyDescent="0.25">
      <c r="A53" s="517" t="s">
        <v>10</v>
      </c>
      <c r="B53" s="519" t="s">
        <v>217</v>
      </c>
      <c r="C53" s="521" t="s">
        <v>116</v>
      </c>
      <c r="D53" s="522"/>
      <c r="E53" s="29"/>
      <c r="F53" s="367">
        <v>6</v>
      </c>
    </row>
    <row r="54" spans="1:6" s="13" customFormat="1" x14ac:dyDescent="0.25">
      <c r="A54" s="525"/>
      <c r="B54" s="526"/>
      <c r="C54" s="527" t="s">
        <v>117</v>
      </c>
      <c r="D54" s="528"/>
      <c r="E54" s="29"/>
      <c r="F54" s="334" t="s">
        <v>341</v>
      </c>
    </row>
    <row r="55" spans="1:6" s="13" customFormat="1" ht="14.45" customHeight="1" thickBot="1" x14ac:dyDescent="0.3">
      <c r="A55" s="525"/>
      <c r="B55" s="526"/>
      <c r="C55" s="523" t="s">
        <v>71</v>
      </c>
      <c r="D55" s="524"/>
      <c r="E55" s="29"/>
      <c r="F55" s="329" t="s">
        <v>402</v>
      </c>
    </row>
    <row r="56" spans="1:6" s="13" customFormat="1" ht="77.099999999999994" customHeight="1" thickBot="1" x14ac:dyDescent="0.3">
      <c r="A56" s="48" t="s">
        <v>9</v>
      </c>
      <c r="B56" s="23" t="s">
        <v>254</v>
      </c>
      <c r="C56" s="529"/>
      <c r="D56" s="530"/>
      <c r="E56" s="29"/>
      <c r="F56" s="367"/>
    </row>
    <row r="57" spans="1:6" s="13" customFormat="1" ht="28.5" customHeight="1" thickBot="1" x14ac:dyDescent="0.3">
      <c r="A57" s="48" t="s">
        <v>253</v>
      </c>
      <c r="B57" s="23" t="s">
        <v>252</v>
      </c>
      <c r="C57" s="531"/>
      <c r="D57" s="532"/>
      <c r="E57" s="30"/>
      <c r="F57" s="384"/>
    </row>
    <row r="58" spans="1:6" s="13" customFormat="1" ht="25.5" x14ac:dyDescent="0.25">
      <c r="A58" s="517" t="s">
        <v>25</v>
      </c>
      <c r="B58" s="519" t="s">
        <v>93</v>
      </c>
      <c r="C58" s="521" t="s">
        <v>72</v>
      </c>
      <c r="D58" s="522"/>
      <c r="E58" s="29"/>
      <c r="F58" s="367" t="s">
        <v>403</v>
      </c>
    </row>
    <row r="59" spans="1:6" s="13" customFormat="1" ht="54" customHeight="1" thickBot="1" x14ac:dyDescent="0.3">
      <c r="A59" s="518"/>
      <c r="B59" s="520"/>
      <c r="C59" s="515" t="s">
        <v>73</v>
      </c>
      <c r="D59" s="516"/>
      <c r="E59" s="29"/>
      <c r="F59" s="343">
        <v>185</v>
      </c>
    </row>
    <row r="60" spans="1:6" s="13" customFormat="1" x14ac:dyDescent="0.25">
      <c r="A60" s="517" t="s">
        <v>26</v>
      </c>
      <c r="B60" s="519" t="s">
        <v>251</v>
      </c>
      <c r="C60" s="521" t="s">
        <v>74</v>
      </c>
      <c r="D60" s="522"/>
      <c r="E60" s="29"/>
      <c r="F60" s="367" t="s">
        <v>404</v>
      </c>
    </row>
    <row r="61" spans="1:6" s="13" customFormat="1" x14ac:dyDescent="0.25">
      <c r="A61" s="525"/>
      <c r="B61" s="526"/>
      <c r="C61" s="527" t="s">
        <v>75</v>
      </c>
      <c r="D61" s="528"/>
      <c r="E61" s="29"/>
      <c r="F61" s="334">
        <v>3</v>
      </c>
    </row>
    <row r="62" spans="1:6" s="13" customFormat="1" ht="32.25" customHeight="1" thickBot="1" x14ac:dyDescent="0.3">
      <c r="A62" s="518"/>
      <c r="B62" s="520"/>
      <c r="C62" s="515" t="s">
        <v>250</v>
      </c>
      <c r="D62" s="516"/>
      <c r="E62" s="29"/>
      <c r="F62" s="343" t="s">
        <v>405</v>
      </c>
    </row>
    <row r="63" spans="1:6" s="13" customFormat="1" ht="13.5" thickBot="1" x14ac:dyDescent="0.3">
      <c r="A63" s="47" t="s">
        <v>44</v>
      </c>
      <c r="B63" s="25" t="s">
        <v>45</v>
      </c>
      <c r="C63" s="531"/>
      <c r="D63" s="532"/>
      <c r="E63" s="30"/>
      <c r="F63" s="384"/>
    </row>
    <row r="64" spans="1:6" s="13" customFormat="1" ht="28.5" customHeight="1" thickBot="1" x14ac:dyDescent="0.3">
      <c r="A64" s="47" t="s">
        <v>44</v>
      </c>
      <c r="B64" s="25" t="s">
        <v>63</v>
      </c>
      <c r="C64" s="531"/>
      <c r="D64" s="532"/>
      <c r="E64" s="30"/>
      <c r="F64" s="384"/>
    </row>
    <row r="65" spans="1:6" s="13" customFormat="1" ht="26.25" thickBot="1" x14ac:dyDescent="0.3">
      <c r="A65" s="47" t="s">
        <v>44</v>
      </c>
      <c r="B65" s="25" t="s">
        <v>64</v>
      </c>
      <c r="C65" s="531"/>
      <c r="D65" s="532"/>
      <c r="E65" s="30"/>
      <c r="F65" s="384"/>
    </row>
    <row r="66" spans="1:6" s="13" customFormat="1" ht="26.25" thickBot="1" x14ac:dyDescent="0.3">
      <c r="A66" s="47" t="s">
        <v>50</v>
      </c>
      <c r="B66" s="25" t="s">
        <v>216</v>
      </c>
      <c r="C66" s="531"/>
      <c r="D66" s="532"/>
      <c r="E66" s="30"/>
      <c r="F66" s="384"/>
    </row>
    <row r="67" spans="1:6" s="13" customFormat="1" ht="15" customHeight="1" thickBot="1" x14ac:dyDescent="0.3">
      <c r="A67" s="47" t="s">
        <v>27</v>
      </c>
      <c r="B67" s="25" t="s">
        <v>215</v>
      </c>
      <c r="C67" s="543" t="s">
        <v>77</v>
      </c>
      <c r="D67" s="544"/>
      <c r="E67" s="29"/>
      <c r="F67" s="373" t="s">
        <v>406</v>
      </c>
    </row>
    <row r="68" spans="1:6" s="13" customFormat="1" ht="51.75" thickBot="1" x14ac:dyDescent="0.3">
      <c r="A68" s="47" t="s">
        <v>214</v>
      </c>
      <c r="B68" s="25" t="s">
        <v>213</v>
      </c>
      <c r="C68" s="543"/>
      <c r="D68" s="544"/>
      <c r="E68" s="29"/>
      <c r="F68" s="373"/>
    </row>
    <row r="69" spans="1:6" s="13" customFormat="1" ht="15" customHeight="1" x14ac:dyDescent="0.25">
      <c r="A69" s="517" t="s">
        <v>28</v>
      </c>
      <c r="B69" s="747" t="s">
        <v>249</v>
      </c>
      <c r="C69" s="749" t="s">
        <v>248</v>
      </c>
      <c r="D69" s="522"/>
      <c r="E69" s="29"/>
      <c r="F69" s="367">
        <v>35</v>
      </c>
    </row>
    <row r="70" spans="1:6" s="13" customFormat="1" ht="53.45" customHeight="1" thickBot="1" x14ac:dyDescent="0.3">
      <c r="A70" s="518"/>
      <c r="B70" s="748"/>
      <c r="C70" s="584" t="s">
        <v>247</v>
      </c>
      <c r="D70" s="516"/>
      <c r="E70" s="29"/>
      <c r="F70" s="343" t="s">
        <v>407</v>
      </c>
    </row>
    <row r="71" spans="1:6" s="13" customFormat="1" ht="39" thickBot="1" x14ac:dyDescent="0.3">
      <c r="A71" s="47" t="s">
        <v>51</v>
      </c>
      <c r="B71" s="25" t="s">
        <v>212</v>
      </c>
      <c r="C71" s="531"/>
      <c r="D71" s="532"/>
      <c r="E71" s="30"/>
      <c r="F71" s="373"/>
    </row>
    <row r="72" spans="1:6" s="13" customFormat="1" ht="39" thickBot="1" x14ac:dyDescent="0.3">
      <c r="A72" s="47" t="s">
        <v>54</v>
      </c>
      <c r="B72" s="25" t="s">
        <v>80</v>
      </c>
      <c r="C72" s="531"/>
      <c r="D72" s="532"/>
      <c r="E72" s="30"/>
      <c r="F72" s="373"/>
    </row>
    <row r="73" spans="1:6" s="13" customFormat="1" ht="77.099999999999994" customHeight="1" thickBot="1" x14ac:dyDescent="0.3">
      <c r="A73" s="47" t="s">
        <v>29</v>
      </c>
      <c r="B73" s="25" t="s">
        <v>211</v>
      </c>
      <c r="C73" s="531"/>
      <c r="D73" s="532"/>
      <c r="E73" s="30"/>
      <c r="F73" s="373"/>
    </row>
    <row r="74" spans="1:6" s="13" customFormat="1" ht="53.45" customHeight="1" thickBot="1" x14ac:dyDescent="0.3">
      <c r="A74" s="47" t="s">
        <v>31</v>
      </c>
      <c r="B74" s="25" t="s">
        <v>210</v>
      </c>
      <c r="C74" s="543" t="s">
        <v>30</v>
      </c>
      <c r="D74" s="544"/>
      <c r="E74" s="29"/>
      <c r="F74" s="373" t="s">
        <v>408</v>
      </c>
    </row>
    <row r="75" spans="1:6" s="13" customFormat="1" ht="26.25" thickBot="1" x14ac:dyDescent="0.3">
      <c r="A75" s="47" t="s">
        <v>55</v>
      </c>
      <c r="B75" s="25" t="s">
        <v>95</v>
      </c>
      <c r="C75" s="531"/>
      <c r="D75" s="532"/>
      <c r="E75" s="30"/>
      <c r="F75" s="373"/>
    </row>
    <row r="76" spans="1:6" s="13" customFormat="1" ht="13.5" thickBot="1" x14ac:dyDescent="0.3">
      <c r="A76" s="47" t="s">
        <v>32</v>
      </c>
      <c r="B76" s="25" t="s">
        <v>96</v>
      </c>
      <c r="C76" s="543" t="s">
        <v>30</v>
      </c>
      <c r="D76" s="544"/>
      <c r="E76" s="29"/>
      <c r="F76" s="373" t="s">
        <v>409</v>
      </c>
    </row>
    <row r="77" spans="1:6" s="13" customFormat="1" ht="39" thickBot="1" x14ac:dyDescent="0.3">
      <c r="A77" s="47" t="s">
        <v>56</v>
      </c>
      <c r="B77" s="25" t="s">
        <v>167</v>
      </c>
      <c r="C77" s="531"/>
      <c r="D77" s="532"/>
      <c r="E77" s="30"/>
      <c r="F77" s="373"/>
    </row>
    <row r="78" spans="1:6" s="13" customFormat="1" ht="26.25" thickBot="1" x14ac:dyDescent="0.3">
      <c r="A78" s="47" t="s">
        <v>48</v>
      </c>
      <c r="B78" s="25" t="s">
        <v>47</v>
      </c>
      <c r="C78" s="531"/>
      <c r="D78" s="532"/>
      <c r="E78" s="30"/>
      <c r="F78" s="373"/>
    </row>
    <row r="79" spans="1:6" s="13" customFormat="1" ht="26.25" thickBot="1" x14ac:dyDescent="0.3">
      <c r="A79" s="47" t="s">
        <v>49</v>
      </c>
      <c r="B79" s="25" t="s">
        <v>103</v>
      </c>
      <c r="C79" s="531"/>
      <c r="D79" s="532"/>
      <c r="E79" s="30"/>
      <c r="F79" s="373"/>
    </row>
    <row r="80" spans="1:6" s="13" customFormat="1" ht="13.5" thickBot="1" x14ac:dyDescent="0.3">
      <c r="A80" s="47" t="s">
        <v>46</v>
      </c>
      <c r="B80" s="25" t="s">
        <v>81</v>
      </c>
      <c r="C80" s="531"/>
      <c r="D80" s="532"/>
      <c r="E80" s="30"/>
      <c r="F80" s="373"/>
    </row>
    <row r="81" spans="1:6" ht="13.5" thickBot="1" x14ac:dyDescent="0.25"/>
    <row r="82" spans="1:6" s="16" customFormat="1" ht="32.25" thickBot="1" x14ac:dyDescent="0.3">
      <c r="A82" s="536" t="s">
        <v>168</v>
      </c>
      <c r="B82" s="537"/>
      <c r="C82" s="537"/>
      <c r="D82" s="538"/>
      <c r="E82" s="33"/>
      <c r="F82" s="414" t="s">
        <v>389</v>
      </c>
    </row>
    <row r="83" spans="1:6" s="3" customFormat="1" ht="15" customHeight="1" thickBot="1" x14ac:dyDescent="0.3">
      <c r="A83" s="545" t="s">
        <v>169</v>
      </c>
      <c r="B83" s="546"/>
      <c r="C83" s="546"/>
      <c r="D83" s="547"/>
      <c r="E83" s="34"/>
      <c r="F83" s="415" t="s">
        <v>19</v>
      </c>
    </row>
    <row r="84" spans="1:6" s="13" customFormat="1" x14ac:dyDescent="0.25">
      <c r="A84" s="548" t="s">
        <v>83</v>
      </c>
      <c r="B84" s="549"/>
      <c r="C84" s="549"/>
      <c r="D84" s="550"/>
      <c r="E84" s="30"/>
      <c r="F84" s="420">
        <f>-1010*('PPI Adj'!D6)</f>
        <v>-1178.67</v>
      </c>
    </row>
    <row r="85" spans="1:6" s="13" customFormat="1" x14ac:dyDescent="0.25">
      <c r="A85" s="551" t="s">
        <v>34</v>
      </c>
      <c r="B85" s="552"/>
      <c r="C85" s="552"/>
      <c r="D85" s="553"/>
      <c r="E85" s="29"/>
      <c r="F85" s="421">
        <f>947*('PPI Adj'!D6)</f>
        <v>1105.1490000000001</v>
      </c>
    </row>
    <row r="86" spans="1:6" s="13" customFormat="1" x14ac:dyDescent="0.25">
      <c r="A86" s="551" t="s">
        <v>35</v>
      </c>
      <c r="B86" s="552"/>
      <c r="C86" s="552"/>
      <c r="D86" s="553"/>
      <c r="E86" s="30"/>
      <c r="F86" s="421">
        <f>452*('PPI Adj'!D6)</f>
        <v>527.48400000000004</v>
      </c>
    </row>
    <row r="87" spans="1:6" s="13" customFormat="1" x14ac:dyDescent="0.25">
      <c r="A87" s="551" t="s">
        <v>36</v>
      </c>
      <c r="B87" s="552"/>
      <c r="C87" s="552"/>
      <c r="D87" s="553"/>
      <c r="E87" s="29"/>
      <c r="F87" s="421">
        <f>477.6*('PPI Adj'!D6)</f>
        <v>557.3592000000001</v>
      </c>
    </row>
    <row r="88" spans="1:6" s="13" customFormat="1" x14ac:dyDescent="0.25">
      <c r="A88" s="551" t="s">
        <v>60</v>
      </c>
      <c r="B88" s="552"/>
      <c r="C88" s="552"/>
      <c r="D88" s="553"/>
      <c r="E88" s="29"/>
      <c r="F88" s="421">
        <f>86*('PPI Adj'!D6)</f>
        <v>100.36200000000001</v>
      </c>
    </row>
    <row r="89" spans="1:6" s="13" customFormat="1" x14ac:dyDescent="0.25">
      <c r="A89" s="551" t="s">
        <v>61</v>
      </c>
      <c r="B89" s="552"/>
      <c r="C89" s="552"/>
      <c r="D89" s="553"/>
      <c r="E89" s="29"/>
      <c r="F89" s="421">
        <f>1419*('PPI Adj'!D6)</f>
        <v>1655.973</v>
      </c>
    </row>
    <row r="90" spans="1:6" s="13" customFormat="1" x14ac:dyDescent="0.25">
      <c r="A90" s="551" t="s">
        <v>86</v>
      </c>
      <c r="B90" s="552"/>
      <c r="C90" s="552"/>
      <c r="D90" s="553"/>
      <c r="E90" s="29"/>
      <c r="F90" s="421">
        <f>856*('PPI Adj'!D6)</f>
        <v>998.952</v>
      </c>
    </row>
    <row r="91" spans="1:6" x14ac:dyDescent="0.2">
      <c r="A91" s="551" t="s">
        <v>85</v>
      </c>
      <c r="B91" s="552"/>
      <c r="C91" s="552"/>
      <c r="D91" s="553"/>
      <c r="E91" s="29"/>
      <c r="F91" s="421">
        <f>5262*('PPI Adj'!D6)</f>
        <v>6140.7539999999999</v>
      </c>
    </row>
    <row r="92" spans="1:6" x14ac:dyDescent="0.2">
      <c r="A92" s="551" t="s">
        <v>13</v>
      </c>
      <c r="B92" s="552"/>
      <c r="C92" s="552"/>
      <c r="D92" s="553"/>
      <c r="E92" s="29"/>
      <c r="F92" s="421">
        <f>10801*('PPI Adj'!D6)</f>
        <v>12604.767</v>
      </c>
    </row>
    <row r="93" spans="1:6" x14ac:dyDescent="0.2">
      <c r="A93" s="551" t="s">
        <v>37</v>
      </c>
      <c r="B93" s="552"/>
      <c r="C93" s="552"/>
      <c r="D93" s="553"/>
      <c r="E93" s="30"/>
      <c r="F93" s="421">
        <f>595*('PPI Adj'!D6)</f>
        <v>694.36500000000001</v>
      </c>
    </row>
    <row r="94" spans="1:6" x14ac:dyDescent="0.2">
      <c r="A94" s="551" t="s">
        <v>38</v>
      </c>
      <c r="B94" s="552"/>
      <c r="C94" s="552"/>
      <c r="D94" s="553"/>
      <c r="E94" s="30"/>
      <c r="F94" s="421">
        <f>558*('PPI Adj'!D6)</f>
        <v>651.18600000000004</v>
      </c>
    </row>
    <row r="95" spans="1:6" x14ac:dyDescent="0.2">
      <c r="A95" s="551" t="s">
        <v>201</v>
      </c>
      <c r="B95" s="552"/>
      <c r="C95" s="552"/>
      <c r="D95" s="553"/>
      <c r="E95" s="30"/>
      <c r="F95" s="421" t="s">
        <v>183</v>
      </c>
    </row>
    <row r="96" spans="1:6" x14ac:dyDescent="0.2">
      <c r="A96" s="551" t="s">
        <v>39</v>
      </c>
      <c r="B96" s="552"/>
      <c r="C96" s="552"/>
      <c r="D96" s="553"/>
      <c r="E96" s="29"/>
      <c r="F96" s="421">
        <f>472*('PPI Adj'!D6)</f>
        <v>550.82400000000007</v>
      </c>
    </row>
    <row r="97" spans="1:6" x14ac:dyDescent="0.2">
      <c r="A97" s="551" t="s">
        <v>88</v>
      </c>
      <c r="B97" s="552"/>
      <c r="C97" s="552"/>
      <c r="D97" s="553"/>
      <c r="E97" s="29"/>
      <c r="F97" s="421">
        <f>4245*('PPI Adj'!D6)</f>
        <v>4953.915</v>
      </c>
    </row>
    <row r="98" spans="1:6" x14ac:dyDescent="0.2">
      <c r="A98" s="551" t="s">
        <v>40</v>
      </c>
      <c r="B98" s="552"/>
      <c r="C98" s="552"/>
      <c r="D98" s="553"/>
      <c r="E98" s="29"/>
      <c r="F98" s="421">
        <f>329*('PPI Adj'!D6)</f>
        <v>383.94300000000004</v>
      </c>
    </row>
    <row r="99" spans="1:6" x14ac:dyDescent="0.2">
      <c r="A99" s="551" t="s">
        <v>14</v>
      </c>
      <c r="B99" s="552"/>
      <c r="C99" s="552"/>
      <c r="D99" s="553"/>
      <c r="E99" s="29"/>
      <c r="F99" s="421">
        <f>8567*('PPI Adj'!D6)</f>
        <v>9997.6890000000003</v>
      </c>
    </row>
    <row r="100" spans="1:6" x14ac:dyDescent="0.2">
      <c r="A100" s="551" t="s">
        <v>91</v>
      </c>
      <c r="B100" s="552"/>
      <c r="C100" s="552"/>
      <c r="D100" s="553"/>
      <c r="E100" s="29"/>
      <c r="F100" s="421">
        <f>1971*('PPI Adj'!D6)</f>
        <v>2300.1570000000002</v>
      </c>
    </row>
    <row r="101" spans="1:6" x14ac:dyDescent="0.2">
      <c r="A101" s="557" t="s">
        <v>272</v>
      </c>
      <c r="B101" s="558"/>
      <c r="C101" s="558"/>
      <c r="D101" s="559"/>
      <c r="E101" s="29"/>
      <c r="F101" s="422">
        <f>-1775*('PPI Adj'!D6)</f>
        <v>-2071.4250000000002</v>
      </c>
    </row>
    <row r="102" spans="1:6" ht="15.6" customHeight="1" thickBot="1" x14ac:dyDescent="0.25">
      <c r="A102" s="554" t="s">
        <v>92</v>
      </c>
      <c r="B102" s="555"/>
      <c r="C102" s="555"/>
      <c r="D102" s="556"/>
      <c r="E102" s="30"/>
      <c r="F102" s="423">
        <f>2023*('PPI Adj'!D6)</f>
        <v>2360.8409999999999</v>
      </c>
    </row>
    <row r="103" spans="1:6" ht="13.5" thickBot="1" x14ac:dyDescent="0.25">
      <c r="F103" s="345"/>
    </row>
    <row r="104" spans="1:6" s="16" customFormat="1" ht="32.25" thickBot="1" x14ac:dyDescent="0.3">
      <c r="A104" s="536" t="s">
        <v>166</v>
      </c>
      <c r="B104" s="537"/>
      <c r="C104" s="537"/>
      <c r="D104" s="538"/>
      <c r="E104" s="33"/>
      <c r="F104" s="414" t="s">
        <v>389</v>
      </c>
    </row>
    <row r="105" spans="1:6" s="3" customFormat="1" ht="13.5" thickBot="1" x14ac:dyDescent="0.3">
      <c r="A105" s="49" t="s">
        <v>33</v>
      </c>
      <c r="B105" s="19" t="s">
        <v>7</v>
      </c>
      <c r="C105" s="560" t="s">
        <v>165</v>
      </c>
      <c r="D105" s="561"/>
      <c r="E105" s="34"/>
      <c r="F105" s="415" t="s">
        <v>19</v>
      </c>
    </row>
    <row r="106" spans="1:6" s="13" customFormat="1" ht="39" thickBot="1" x14ac:dyDescent="0.3">
      <c r="A106" s="50" t="s">
        <v>83</v>
      </c>
      <c r="B106" s="18" t="s">
        <v>146</v>
      </c>
      <c r="C106" s="562"/>
      <c r="D106" s="563"/>
      <c r="E106" s="30"/>
      <c r="F106" s="373"/>
    </row>
    <row r="107" spans="1:6" s="13" customFormat="1" ht="26.25" thickBot="1" x14ac:dyDescent="0.3">
      <c r="A107" s="47" t="s">
        <v>34</v>
      </c>
      <c r="B107" s="25" t="s">
        <v>107</v>
      </c>
      <c r="C107" s="543" t="s">
        <v>30</v>
      </c>
      <c r="D107" s="544"/>
      <c r="E107" s="29"/>
      <c r="F107" s="373" t="s">
        <v>349</v>
      </c>
    </row>
    <row r="108" spans="1:6" s="13" customFormat="1" ht="54" customHeight="1" thickBot="1" x14ac:dyDescent="0.3">
      <c r="A108" s="47" t="s">
        <v>35</v>
      </c>
      <c r="B108" s="25" t="s">
        <v>97</v>
      </c>
      <c r="C108" s="531"/>
      <c r="D108" s="532"/>
      <c r="E108" s="30"/>
      <c r="F108" s="373"/>
    </row>
    <row r="109" spans="1:6" s="13" customFormat="1" ht="26.25" thickBot="1" x14ac:dyDescent="0.3">
      <c r="A109" s="47" t="s">
        <v>36</v>
      </c>
      <c r="B109" s="25" t="s">
        <v>84</v>
      </c>
      <c r="C109" s="543" t="s">
        <v>99</v>
      </c>
      <c r="D109" s="544"/>
      <c r="E109" s="29"/>
      <c r="F109" s="373" t="s">
        <v>410</v>
      </c>
    </row>
    <row r="110" spans="1:6" s="13" customFormat="1" ht="12.75" customHeight="1" x14ac:dyDescent="0.25">
      <c r="A110" s="517" t="s">
        <v>60</v>
      </c>
      <c r="B110" s="519" t="s">
        <v>133</v>
      </c>
      <c r="C110" s="521" t="s">
        <v>203</v>
      </c>
      <c r="D110" s="522"/>
      <c r="E110" s="29"/>
      <c r="F110" s="367" t="s">
        <v>398</v>
      </c>
    </row>
    <row r="111" spans="1:6" s="13" customFormat="1" x14ac:dyDescent="0.25">
      <c r="A111" s="525"/>
      <c r="B111" s="526"/>
      <c r="C111" s="527" t="s">
        <v>202</v>
      </c>
      <c r="D111" s="528"/>
      <c r="E111" s="29"/>
      <c r="F111" s="334">
        <v>5675</v>
      </c>
    </row>
    <row r="112" spans="1:6" s="13" customFormat="1" x14ac:dyDescent="0.25">
      <c r="A112" s="525"/>
      <c r="B112" s="526"/>
      <c r="C112" s="527" t="s">
        <v>114</v>
      </c>
      <c r="D112" s="528"/>
      <c r="E112" s="29"/>
      <c r="F112" s="334" t="s">
        <v>411</v>
      </c>
    </row>
    <row r="113" spans="1:6" s="13" customFormat="1" ht="30.75" customHeight="1" thickBot="1" x14ac:dyDescent="0.3">
      <c r="A113" s="518"/>
      <c r="B113" s="520"/>
      <c r="C113" s="515" t="s">
        <v>115</v>
      </c>
      <c r="D113" s="516"/>
      <c r="E113" s="29"/>
      <c r="F113" s="343" t="s">
        <v>412</v>
      </c>
    </row>
    <row r="114" spans="1:6" s="13" customFormat="1" ht="12.75" customHeight="1" x14ac:dyDescent="0.25">
      <c r="A114" s="517" t="s">
        <v>61</v>
      </c>
      <c r="B114" s="519" t="s">
        <v>206</v>
      </c>
      <c r="C114" s="521" t="s">
        <v>205</v>
      </c>
      <c r="D114" s="522"/>
      <c r="E114" s="29"/>
      <c r="F114" s="367" t="s">
        <v>413</v>
      </c>
    </row>
    <row r="115" spans="1:6" s="13" customFormat="1" x14ac:dyDescent="0.25">
      <c r="A115" s="525"/>
      <c r="B115" s="526"/>
      <c r="C115" s="527" t="s">
        <v>204</v>
      </c>
      <c r="D115" s="528"/>
      <c r="E115" s="29"/>
      <c r="F115" s="419">
        <v>6610</v>
      </c>
    </row>
    <row r="116" spans="1:6" s="13" customFormat="1" x14ac:dyDescent="0.25">
      <c r="A116" s="525"/>
      <c r="B116" s="526"/>
      <c r="C116" s="527" t="s">
        <v>203</v>
      </c>
      <c r="D116" s="528"/>
      <c r="E116" s="29"/>
      <c r="F116" s="419" t="s">
        <v>413</v>
      </c>
    </row>
    <row r="117" spans="1:6" s="13" customFormat="1" x14ac:dyDescent="0.25">
      <c r="A117" s="525"/>
      <c r="B117" s="526"/>
      <c r="C117" s="527" t="s">
        <v>202</v>
      </c>
      <c r="D117" s="528"/>
      <c r="E117" s="29"/>
      <c r="F117" s="334">
        <v>6005</v>
      </c>
    </row>
    <row r="118" spans="1:6" s="13" customFormat="1" x14ac:dyDescent="0.25">
      <c r="A118" s="525"/>
      <c r="B118" s="526"/>
      <c r="C118" s="527" t="s">
        <v>112</v>
      </c>
      <c r="D118" s="528"/>
      <c r="E118" s="29"/>
      <c r="F118" s="334" t="s">
        <v>414</v>
      </c>
    </row>
    <row r="119" spans="1:6" s="13" customFormat="1" x14ac:dyDescent="0.25">
      <c r="A119" s="525"/>
      <c r="B119" s="526"/>
      <c r="C119" s="527" t="s">
        <v>113</v>
      </c>
      <c r="D119" s="528"/>
      <c r="E119" s="29"/>
      <c r="F119" s="419" t="s">
        <v>415</v>
      </c>
    </row>
    <row r="120" spans="1:6" s="13" customFormat="1" x14ac:dyDescent="0.25">
      <c r="A120" s="525"/>
      <c r="B120" s="526"/>
      <c r="C120" s="527" t="s">
        <v>114</v>
      </c>
      <c r="D120" s="528"/>
      <c r="E120" s="29"/>
      <c r="F120" s="419" t="s">
        <v>416</v>
      </c>
    </row>
    <row r="121" spans="1:6" s="13" customFormat="1" ht="14.1" customHeight="1" thickBot="1" x14ac:dyDescent="0.3">
      <c r="A121" s="518"/>
      <c r="B121" s="520"/>
      <c r="C121" s="515" t="s">
        <v>115</v>
      </c>
      <c r="D121" s="516"/>
      <c r="E121" s="29"/>
      <c r="F121" s="343" t="s">
        <v>415</v>
      </c>
    </row>
    <row r="122" spans="1:6" s="13" customFormat="1" ht="144.94999999999999" customHeight="1" thickBot="1" x14ac:dyDescent="0.3">
      <c r="A122" s="51" t="s">
        <v>86</v>
      </c>
      <c r="B122" s="17" t="s">
        <v>143</v>
      </c>
      <c r="C122" s="543" t="s">
        <v>104</v>
      </c>
      <c r="D122" s="544"/>
      <c r="E122" s="29"/>
      <c r="F122" s="367" t="s">
        <v>417</v>
      </c>
    </row>
    <row r="123" spans="1:6" ht="170.1" customHeight="1" thickBot="1" x14ac:dyDescent="0.25">
      <c r="A123" s="47" t="s">
        <v>85</v>
      </c>
      <c r="B123" s="14" t="s">
        <v>170</v>
      </c>
      <c r="C123" s="543" t="s">
        <v>104</v>
      </c>
      <c r="D123" s="544"/>
      <c r="E123" s="29"/>
      <c r="F123" s="373" t="s">
        <v>418</v>
      </c>
    </row>
    <row r="124" spans="1:6" x14ac:dyDescent="0.2">
      <c r="A124" s="517" t="s">
        <v>13</v>
      </c>
      <c r="B124" s="519" t="s">
        <v>98</v>
      </c>
      <c r="C124" s="521" t="s">
        <v>30</v>
      </c>
      <c r="D124" s="522"/>
      <c r="E124" s="29"/>
      <c r="F124" s="367" t="s">
        <v>419</v>
      </c>
    </row>
    <row r="125" spans="1:6" ht="27.95" customHeight="1" thickBot="1" x14ac:dyDescent="0.25">
      <c r="A125" s="518"/>
      <c r="B125" s="520"/>
      <c r="C125" s="515" t="s">
        <v>109</v>
      </c>
      <c r="D125" s="516"/>
      <c r="E125" s="29"/>
      <c r="F125" s="343" t="s">
        <v>359</v>
      </c>
    </row>
    <row r="126" spans="1:6" ht="66" customHeight="1" thickBot="1" x14ac:dyDescent="0.25">
      <c r="A126" s="47" t="s">
        <v>37</v>
      </c>
      <c r="B126" s="25" t="s">
        <v>135</v>
      </c>
      <c r="C126" s="531"/>
      <c r="D126" s="532"/>
      <c r="E126" s="30"/>
      <c r="F126" s="373" t="s">
        <v>375</v>
      </c>
    </row>
    <row r="127" spans="1:6" ht="40.5" customHeight="1" thickBot="1" x14ac:dyDescent="0.25">
      <c r="A127" s="47" t="s">
        <v>38</v>
      </c>
      <c r="B127" s="25" t="s">
        <v>87</v>
      </c>
      <c r="C127" s="531"/>
      <c r="D127" s="532"/>
      <c r="E127" s="30"/>
      <c r="F127" s="373"/>
    </row>
    <row r="128" spans="1:6" ht="14.25" customHeight="1" thickBot="1" x14ac:dyDescent="0.25">
      <c r="A128" s="47" t="s">
        <v>201</v>
      </c>
      <c r="B128" s="25" t="s">
        <v>200</v>
      </c>
      <c r="C128" s="543"/>
      <c r="D128" s="544"/>
      <c r="E128" s="29"/>
      <c r="F128" s="373"/>
    </row>
    <row r="129" spans="1:6" ht="27" customHeight="1" thickBot="1" x14ac:dyDescent="0.25">
      <c r="A129" s="47" t="s">
        <v>39</v>
      </c>
      <c r="B129" s="25" t="s">
        <v>106</v>
      </c>
      <c r="C129" s="543" t="s">
        <v>105</v>
      </c>
      <c r="D129" s="544"/>
      <c r="E129" s="29"/>
      <c r="F129" s="373" t="s">
        <v>323</v>
      </c>
    </row>
    <row r="130" spans="1:6" ht="15" customHeight="1" x14ac:dyDescent="0.2">
      <c r="A130" s="517" t="s">
        <v>88</v>
      </c>
      <c r="B130" s="519" t="s">
        <v>148</v>
      </c>
      <c r="C130" s="521" t="s">
        <v>100</v>
      </c>
      <c r="D130" s="522"/>
      <c r="E130" s="29"/>
      <c r="F130" s="367" t="s">
        <v>420</v>
      </c>
    </row>
    <row r="131" spans="1:6" ht="108" customHeight="1" thickBot="1" x14ac:dyDescent="0.25">
      <c r="A131" s="518"/>
      <c r="B131" s="520"/>
      <c r="C131" s="515" t="s">
        <v>110</v>
      </c>
      <c r="D131" s="516"/>
      <c r="E131" s="29"/>
      <c r="F131" s="424" t="s">
        <v>421</v>
      </c>
    </row>
    <row r="132" spans="1:6" ht="26.25" thickBot="1" x14ac:dyDescent="0.25">
      <c r="A132" s="47" t="s">
        <v>40</v>
      </c>
      <c r="B132" s="25" t="s">
        <v>137</v>
      </c>
      <c r="C132" s="543" t="s">
        <v>100</v>
      </c>
      <c r="D132" s="544"/>
      <c r="E132" s="29"/>
      <c r="F132" s="343" t="s">
        <v>360</v>
      </c>
    </row>
    <row r="133" spans="1:6" ht="54.6" customHeight="1" thickBot="1" x14ac:dyDescent="0.25">
      <c r="A133" s="47" t="s">
        <v>14</v>
      </c>
      <c r="B133" s="25" t="s">
        <v>138</v>
      </c>
      <c r="C133" s="543" t="s">
        <v>139</v>
      </c>
      <c r="D133" s="544"/>
      <c r="E133" s="29"/>
      <c r="F133" s="373">
        <v>2</v>
      </c>
    </row>
    <row r="134" spans="1:6" ht="64.5" customHeight="1" thickBot="1" x14ac:dyDescent="0.25">
      <c r="A134" s="47" t="s">
        <v>91</v>
      </c>
      <c r="B134" s="25" t="s">
        <v>144</v>
      </c>
      <c r="C134" s="543" t="s">
        <v>100</v>
      </c>
      <c r="D134" s="544"/>
      <c r="E134" s="29"/>
      <c r="F134" s="373" t="s">
        <v>361</v>
      </c>
    </row>
    <row r="135" spans="1:6" ht="68.45" customHeight="1" thickBot="1" x14ac:dyDescent="0.25">
      <c r="A135" s="47" t="s">
        <v>92</v>
      </c>
      <c r="B135" s="25" t="s">
        <v>145</v>
      </c>
      <c r="C135" s="531"/>
      <c r="D135" s="532"/>
      <c r="E135" s="30"/>
      <c r="F135" s="373"/>
    </row>
  </sheetData>
  <sheetProtection algorithmName="SHA-512" hashValue="YDHDvsQ7O9kWn/P/owKrkogTQXBj7VtDo+HOBJ55B6pQvN3+cTHzdD2rcH0KIdRkae4U0f2FIiTGChxyRMHuFg==" saltValue="t0IlXpzV2JBeFhFV+SDgPA==" spinCount="100000" sheet="1" objects="1" scenarios="1"/>
  <dataConsolidate/>
  <mergeCells count="154">
    <mergeCell ref="C71:D71"/>
    <mergeCell ref="C72:D72"/>
    <mergeCell ref="C73:D73"/>
    <mergeCell ref="C74:D74"/>
    <mergeCell ref="C75:D75"/>
    <mergeCell ref="C76:D76"/>
    <mergeCell ref="A84:D84"/>
    <mergeCell ref="A85:D85"/>
    <mergeCell ref="C77:D77"/>
    <mergeCell ref="C78:D78"/>
    <mergeCell ref="C79:D79"/>
    <mergeCell ref="C80:D80"/>
    <mergeCell ref="A82:D82"/>
    <mergeCell ref="A98:D98"/>
    <mergeCell ref="A99:D99"/>
    <mergeCell ref="A100:D100"/>
    <mergeCell ref="A101:D101"/>
    <mergeCell ref="C109:D109"/>
    <mergeCell ref="B110:B113"/>
    <mergeCell ref="C110:D110"/>
    <mergeCell ref="A86:D86"/>
    <mergeCell ref="A87:D87"/>
    <mergeCell ref="A88:D88"/>
    <mergeCell ref="A89:D89"/>
    <mergeCell ref="A90:D90"/>
    <mergeCell ref="A91:D91"/>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A97:D97"/>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114:D114"/>
    <mergeCell ref="C40:D40"/>
    <mergeCell ref="A45:A52"/>
    <mergeCell ref="B45:B52"/>
    <mergeCell ref="C45:D45"/>
    <mergeCell ref="C46:D46"/>
    <mergeCell ref="C47:D47"/>
    <mergeCell ref="C48:D48"/>
    <mergeCell ref="C49:D49"/>
    <mergeCell ref="C50:D50"/>
    <mergeCell ref="C51:D51"/>
    <mergeCell ref="A41:A43"/>
    <mergeCell ref="B41:B43"/>
    <mergeCell ref="C41:D41"/>
    <mergeCell ref="C42:D42"/>
    <mergeCell ref="C43:D43"/>
    <mergeCell ref="C44:D44"/>
    <mergeCell ref="A69:A70"/>
    <mergeCell ref="C52:D52"/>
    <mergeCell ref="A53:A55"/>
    <mergeCell ref="B53:B55"/>
    <mergeCell ref="C53:D53"/>
    <mergeCell ref="C54:D54"/>
    <mergeCell ref="C55:D55"/>
    <mergeCell ref="C56:D56"/>
    <mergeCell ref="A58:A59"/>
    <mergeCell ref="B58:B59"/>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A38:A39"/>
    <mergeCell ref="B38:B39"/>
    <mergeCell ref="C38:D38"/>
    <mergeCell ref="C39:D39"/>
    <mergeCell ref="A30:A34"/>
    <mergeCell ref="B30:B34"/>
    <mergeCell ref="C30:D30"/>
    <mergeCell ref="C31:D31"/>
    <mergeCell ref="C32:D32"/>
    <mergeCell ref="C33:D33"/>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B21:D21"/>
    <mergeCell ref="B12:D12"/>
    <mergeCell ref="B13:D13"/>
    <mergeCell ref="B14:D14"/>
    <mergeCell ref="B15:D15"/>
    <mergeCell ref="B16:D16"/>
    <mergeCell ref="A3:D3"/>
    <mergeCell ref="A4:D4"/>
    <mergeCell ref="A6:D6"/>
    <mergeCell ref="A19:D19"/>
    <mergeCell ref="B17:D17"/>
    <mergeCell ref="B8:D8"/>
    <mergeCell ref="B9:D9"/>
    <mergeCell ref="B10:D10"/>
    <mergeCell ref="B11:D11"/>
  </mergeCells>
  <conditionalFormatting sqref="C56 C65">
    <cfRule type="expression" dxfId="138" priority="135">
      <formula>#REF!="NO"</formula>
    </cfRule>
  </conditionalFormatting>
  <conditionalFormatting sqref="C41:D43">
    <cfRule type="expression" dxfId="137" priority="122">
      <formula>$F$2="NO"</formula>
    </cfRule>
  </conditionalFormatting>
  <conditionalFormatting sqref="C26:E40">
    <cfRule type="expression" dxfId="136" priority="124">
      <formula>#REF!="NO"</formula>
    </cfRule>
  </conditionalFormatting>
  <conditionalFormatting sqref="C44:E80">
    <cfRule type="expression" dxfId="135" priority="121">
      <formula>#REF!="NO"</formula>
    </cfRule>
  </conditionalFormatting>
  <conditionalFormatting sqref="C106:F135">
    <cfRule type="expression" dxfId="134" priority="97">
      <formula>#REF!="NO"</formula>
    </cfRule>
  </conditionalFormatting>
  <conditionalFormatting sqref="E41:E43">
    <cfRule type="expression" dxfId="133" priority="123">
      <formula>#REF!="NO"</formula>
    </cfRule>
  </conditionalFormatting>
  <conditionalFormatting sqref="E84:F102">
    <cfRule type="expression" dxfId="132" priority="99">
      <formula>#REF!="NO"</formula>
    </cfRule>
  </conditionalFormatting>
  <conditionalFormatting sqref="F8:F17">
    <cfRule type="expression" dxfId="131" priority="116">
      <formula>#REF!="NO"</formula>
    </cfRule>
  </conditionalFormatting>
  <conditionalFormatting sqref="F21:F22">
    <cfRule type="expression" dxfId="130" priority="117">
      <formula>#REF!="NO"</formula>
    </cfRule>
  </conditionalFormatting>
  <conditionalFormatting sqref="F26:F80">
    <cfRule type="expression" dxfId="129" priority="100">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100-000002000000}">
      <formula1>0.01</formula1>
      <formula2>100</formula2>
    </dataValidation>
    <dataValidation type="decimal" allowBlank="1" showInputMessage="1" showErrorMessage="1" error="Invalid Entry - Bidder must enter a value that is greater than $0" sqref="F21" xr:uid="{00000000-0002-0000-0100-00000100000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84" fitToHeight="0" orientation="landscape" r:id="rId1"/>
  <rowBreaks count="2" manualBreakCount="2">
    <brk id="57" max="6" man="1"/>
    <brk id="75"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tabColor theme="5"/>
    <pageSetUpPr autoPageBreaks="0" fitToPage="1"/>
  </sheetPr>
  <dimension ref="A1:F135"/>
  <sheetViews>
    <sheetView showGridLines="0" zoomScaleNormal="100" zoomScaleSheetLayoutView="85" workbookViewId="0">
      <selection activeCell="A3" sqref="A3:D3"/>
    </sheetView>
  </sheetViews>
  <sheetFormatPr defaultColWidth="9.140625" defaultRowHeight="12.75" x14ac:dyDescent="0.2"/>
  <cols>
    <col min="1" max="1" width="20.42578125" style="2" customWidth="1"/>
    <col min="2" max="2" width="62.85546875" style="2" customWidth="1"/>
    <col min="3" max="3" width="14.7109375" style="2" customWidth="1"/>
    <col min="4" max="4" width="20.7109375" style="2" customWidth="1"/>
    <col min="5" max="5" width="2.7109375" style="2" customWidth="1"/>
    <col min="6" max="6" width="21.28515625" style="385" customWidth="1"/>
    <col min="7" max="16384" width="9.140625" style="2"/>
  </cols>
  <sheetData>
    <row r="1" spans="1:6" s="90" customFormat="1" ht="18" customHeight="1" x14ac:dyDescent="0.2">
      <c r="A1" s="300" t="str">
        <f>'A (Item 2-G)'!$A$1</f>
        <v>GROUP 40524-23254, SCHOOL BUSES (Statewide)                                                             Attachment 1 - Specifications and Pricing (Revised October 15, 2026)</v>
      </c>
      <c r="F1" s="426"/>
    </row>
    <row r="2" spans="1:6" s="20" customFormat="1" ht="18" customHeight="1" thickBot="1" x14ac:dyDescent="0.3">
      <c r="A2" s="302" t="str">
        <f>'Attachment 1 - Summary'!B2</f>
        <v>PC69863 Nesco Bus and Truck Sales, Inc.</v>
      </c>
      <c r="B2" s="21"/>
      <c r="C2" s="21"/>
      <c r="D2" s="21"/>
      <c r="E2" s="21"/>
      <c r="F2" s="303"/>
    </row>
    <row r="3" spans="1:6" ht="24" thickBot="1" x14ac:dyDescent="0.25">
      <c r="A3" s="750" t="s">
        <v>263</v>
      </c>
      <c r="B3" s="751"/>
      <c r="C3" s="751"/>
      <c r="D3" s="752"/>
      <c r="E3" s="8"/>
      <c r="F3" s="304"/>
    </row>
    <row r="4" spans="1:6" ht="51" customHeight="1" thickBot="1" x14ac:dyDescent="0.25">
      <c r="A4" s="506" t="s">
        <v>262</v>
      </c>
      <c r="B4" s="507"/>
      <c r="C4" s="507"/>
      <c r="D4" s="508"/>
      <c r="E4" s="8"/>
      <c r="F4" s="304"/>
    </row>
    <row r="5" spans="1:6" s="4" customFormat="1" ht="11.25" customHeight="1" thickBot="1" x14ac:dyDescent="0.3">
      <c r="A5" s="411"/>
      <c r="B5" s="411"/>
      <c r="C5" s="411"/>
      <c r="D5" s="411"/>
      <c r="E5" s="411"/>
      <c r="F5" s="413"/>
    </row>
    <row r="6" spans="1:6" s="7" customFormat="1" ht="32.25" thickBot="1" x14ac:dyDescent="0.25">
      <c r="A6" s="509" t="s">
        <v>151</v>
      </c>
      <c r="B6" s="510"/>
      <c r="C6" s="510"/>
      <c r="D6" s="511"/>
      <c r="E6" s="31"/>
      <c r="F6" s="414" t="s">
        <v>389</v>
      </c>
    </row>
    <row r="7" spans="1:6" s="4" customFormat="1" ht="15" customHeight="1" thickBot="1" x14ac:dyDescent="0.3">
      <c r="A7" s="37" t="s">
        <v>6</v>
      </c>
      <c r="B7" s="22" t="s">
        <v>165</v>
      </c>
      <c r="C7" s="27"/>
      <c r="D7" s="35"/>
      <c r="E7" s="32"/>
      <c r="F7" s="415" t="s">
        <v>19</v>
      </c>
    </row>
    <row r="8" spans="1:6" ht="65.25" thickTop="1" thickBot="1" x14ac:dyDescent="0.25">
      <c r="A8" s="38" t="s">
        <v>9</v>
      </c>
      <c r="B8" s="500" t="s">
        <v>152</v>
      </c>
      <c r="C8" s="501"/>
      <c r="D8" s="502"/>
      <c r="E8" s="13"/>
      <c r="F8" s="324" t="s">
        <v>390</v>
      </c>
    </row>
    <row r="9" spans="1:6" s="7" customFormat="1" ht="44.25" customHeight="1" thickTop="1" thickBot="1" x14ac:dyDescent="0.25">
      <c r="A9" s="38" t="s">
        <v>136</v>
      </c>
      <c r="B9" s="500" t="s">
        <v>191</v>
      </c>
      <c r="C9" s="501"/>
      <c r="D9" s="502"/>
      <c r="E9" s="13"/>
      <c r="F9" s="324" t="s">
        <v>422</v>
      </c>
    </row>
    <row r="10" spans="1:6" ht="12.75" customHeight="1" thickTop="1" x14ac:dyDescent="0.2">
      <c r="A10" s="39" t="s">
        <v>0</v>
      </c>
      <c r="B10" s="491" t="s">
        <v>154</v>
      </c>
      <c r="C10" s="492"/>
      <c r="D10" s="493"/>
      <c r="E10" s="13"/>
      <c r="F10" s="334" t="s">
        <v>392</v>
      </c>
    </row>
    <row r="11" spans="1:6" x14ac:dyDescent="0.2">
      <c r="A11" s="39" t="s">
        <v>1</v>
      </c>
      <c r="B11" s="491" t="s">
        <v>153</v>
      </c>
      <c r="C11" s="492"/>
      <c r="D11" s="493"/>
      <c r="E11" s="13"/>
      <c r="F11" s="334" t="s">
        <v>393</v>
      </c>
    </row>
    <row r="12" spans="1:6" ht="15" customHeight="1" thickBot="1" x14ac:dyDescent="0.25">
      <c r="A12" s="40" t="s">
        <v>2</v>
      </c>
      <c r="B12" s="494" t="s">
        <v>155</v>
      </c>
      <c r="C12" s="495"/>
      <c r="D12" s="496"/>
      <c r="E12" s="13"/>
      <c r="F12" s="336" t="s">
        <v>394</v>
      </c>
    </row>
    <row r="13" spans="1:6" ht="13.5" thickTop="1" x14ac:dyDescent="0.2">
      <c r="A13" s="39" t="s">
        <v>3</v>
      </c>
      <c r="B13" s="491" t="s">
        <v>157</v>
      </c>
      <c r="C13" s="492"/>
      <c r="D13" s="493"/>
      <c r="E13" s="13"/>
      <c r="F13" s="334" t="s">
        <v>334</v>
      </c>
    </row>
    <row r="14" spans="1:6" x14ac:dyDescent="0.2">
      <c r="A14" s="39" t="s">
        <v>4</v>
      </c>
      <c r="B14" s="491" t="s">
        <v>156</v>
      </c>
      <c r="C14" s="492"/>
      <c r="D14" s="493"/>
      <c r="E14" s="13"/>
      <c r="F14" s="334" t="s">
        <v>395</v>
      </c>
    </row>
    <row r="15" spans="1:6" ht="15.75" customHeight="1" thickBot="1" x14ac:dyDescent="0.25">
      <c r="A15" s="41" t="s">
        <v>5</v>
      </c>
      <c r="B15" s="494" t="s">
        <v>158</v>
      </c>
      <c r="C15" s="495"/>
      <c r="D15" s="496"/>
      <c r="E15" s="13"/>
      <c r="F15" s="341" t="s">
        <v>423</v>
      </c>
    </row>
    <row r="16" spans="1:6" ht="29.25" customHeight="1" thickTop="1" x14ac:dyDescent="0.2">
      <c r="A16" s="39" t="s">
        <v>101</v>
      </c>
      <c r="B16" s="497" t="s">
        <v>160</v>
      </c>
      <c r="C16" s="498"/>
      <c r="D16" s="499"/>
      <c r="E16" s="13"/>
      <c r="F16" s="342">
        <v>100</v>
      </c>
    </row>
    <row r="17" spans="1:6" ht="30.75" customHeight="1" thickBot="1" x14ac:dyDescent="0.25">
      <c r="A17" s="41" t="s">
        <v>43</v>
      </c>
      <c r="B17" s="494" t="s">
        <v>159</v>
      </c>
      <c r="C17" s="495"/>
      <c r="D17" s="496"/>
      <c r="E17" s="13"/>
      <c r="F17" s="341" t="s">
        <v>366</v>
      </c>
    </row>
    <row r="18" spans="1:6" s="9" customFormat="1" ht="14.25" thickTop="1" thickBot="1" x14ac:dyDescent="0.25">
      <c r="C18" s="10"/>
      <c r="D18" s="10"/>
      <c r="E18" s="10"/>
      <c r="F18" s="345"/>
    </row>
    <row r="19" spans="1:6" s="11" customFormat="1" ht="32.25" thickBot="1" x14ac:dyDescent="0.25">
      <c r="A19" s="509" t="s">
        <v>150</v>
      </c>
      <c r="B19" s="510"/>
      <c r="C19" s="510"/>
      <c r="D19" s="511"/>
      <c r="E19" s="31"/>
      <c r="F19" s="414" t="s">
        <v>389</v>
      </c>
    </row>
    <row r="20" spans="1:6" s="4" customFormat="1" ht="15" customHeight="1" thickBot="1" x14ac:dyDescent="0.3">
      <c r="A20" s="52" t="s">
        <v>6</v>
      </c>
      <c r="B20" s="26" t="s">
        <v>165</v>
      </c>
      <c r="C20" s="28"/>
      <c r="D20" s="45"/>
      <c r="E20" s="32"/>
      <c r="F20" s="415" t="s">
        <v>19</v>
      </c>
    </row>
    <row r="21" spans="1:6" ht="56.25" customHeight="1" x14ac:dyDescent="0.2">
      <c r="A21" s="42" t="s">
        <v>42</v>
      </c>
      <c r="B21" s="512" t="s">
        <v>161</v>
      </c>
      <c r="C21" s="513"/>
      <c r="D21" s="514"/>
      <c r="E21" s="13"/>
      <c r="F21" s="416">
        <f>132514.03*('PPI Adj'!D6)</f>
        <v>154643.87301000001</v>
      </c>
    </row>
    <row r="22" spans="1:6" ht="26.1" customHeight="1" thickBot="1" x14ac:dyDescent="0.25">
      <c r="A22" s="43" t="s">
        <v>41</v>
      </c>
      <c r="B22" s="533" t="s">
        <v>163</v>
      </c>
      <c r="C22" s="534"/>
      <c r="D22" s="535"/>
      <c r="E22" s="1"/>
      <c r="F22" s="354">
        <v>20</v>
      </c>
    </row>
    <row r="23" spans="1:6" ht="13.5" thickBot="1" x14ac:dyDescent="0.25">
      <c r="A23" s="69"/>
      <c r="B23" s="1"/>
      <c r="C23" s="1"/>
      <c r="D23" s="1"/>
      <c r="E23" s="1"/>
      <c r="F23" s="418"/>
    </row>
    <row r="24" spans="1:6" s="7" customFormat="1" ht="32.25" thickBot="1" x14ac:dyDescent="0.25">
      <c r="A24" s="536" t="s">
        <v>164</v>
      </c>
      <c r="B24" s="537"/>
      <c r="C24" s="537"/>
      <c r="D24" s="538"/>
      <c r="E24" s="33"/>
      <c r="F24" s="414" t="s">
        <v>389</v>
      </c>
    </row>
    <row r="25" spans="1:6" s="3" customFormat="1" ht="15" customHeight="1" thickBot="1" x14ac:dyDescent="0.3">
      <c r="A25" s="52" t="s">
        <v>6</v>
      </c>
      <c r="B25" s="53" t="s">
        <v>7</v>
      </c>
      <c r="C25" s="539" t="s">
        <v>165</v>
      </c>
      <c r="D25" s="540"/>
      <c r="E25" s="34"/>
      <c r="F25" s="415" t="s">
        <v>19</v>
      </c>
    </row>
    <row r="26" spans="1:6" s="13" customFormat="1" ht="81.599999999999994" customHeight="1" thickBot="1" x14ac:dyDescent="0.3">
      <c r="A26" s="46" t="s">
        <v>8</v>
      </c>
      <c r="B26" s="24" t="s">
        <v>257</v>
      </c>
      <c r="C26" s="515" t="s">
        <v>118</v>
      </c>
      <c r="D26" s="516"/>
      <c r="E26" s="29"/>
      <c r="F26" s="343">
        <v>26500</v>
      </c>
    </row>
    <row r="27" spans="1:6" s="13" customFormat="1" x14ac:dyDescent="0.25">
      <c r="A27" s="517" t="s">
        <v>21</v>
      </c>
      <c r="B27" s="519" t="s">
        <v>261</v>
      </c>
      <c r="C27" s="521" t="s">
        <v>67</v>
      </c>
      <c r="D27" s="522"/>
      <c r="E27" s="29"/>
      <c r="F27" s="367">
        <v>8</v>
      </c>
    </row>
    <row r="28" spans="1:6" s="13" customFormat="1" ht="13.5" thickBot="1" x14ac:dyDescent="0.3">
      <c r="A28" s="518"/>
      <c r="B28" s="520"/>
      <c r="C28" s="515" t="s">
        <v>68</v>
      </c>
      <c r="D28" s="516"/>
      <c r="E28" s="29"/>
      <c r="F28" s="343">
        <v>48</v>
      </c>
    </row>
    <row r="29" spans="1:6" s="13" customFormat="1" ht="13.5" thickBot="1" x14ac:dyDescent="0.3">
      <c r="A29" s="47" t="s">
        <v>123</v>
      </c>
      <c r="B29" s="25" t="s">
        <v>108</v>
      </c>
      <c r="C29" s="531"/>
      <c r="D29" s="532"/>
      <c r="E29" s="30"/>
      <c r="F29" s="373"/>
    </row>
    <row r="30" spans="1:6" s="13" customFormat="1" x14ac:dyDescent="0.25">
      <c r="A30" s="517" t="s">
        <v>59</v>
      </c>
      <c r="B30" s="519"/>
      <c r="C30" s="521" t="s">
        <v>58</v>
      </c>
      <c r="D30" s="522"/>
      <c r="E30" s="29"/>
      <c r="F30" s="367">
        <v>199</v>
      </c>
    </row>
    <row r="31" spans="1:6" s="13" customFormat="1" x14ac:dyDescent="0.25">
      <c r="A31" s="525"/>
      <c r="B31" s="526"/>
      <c r="C31" s="527" t="s">
        <v>57</v>
      </c>
      <c r="D31" s="528"/>
      <c r="E31" s="29"/>
      <c r="F31" s="334">
        <v>359.7</v>
      </c>
    </row>
    <row r="32" spans="1:6" s="13" customFormat="1" x14ac:dyDescent="0.25">
      <c r="A32" s="525"/>
      <c r="B32" s="526"/>
      <c r="C32" s="527" t="s">
        <v>69</v>
      </c>
      <c r="D32" s="528"/>
      <c r="E32" s="29"/>
      <c r="F32" s="334">
        <v>90</v>
      </c>
    </row>
    <row r="33" spans="1:6" s="13" customFormat="1" x14ac:dyDescent="0.25">
      <c r="A33" s="525"/>
      <c r="B33" s="526"/>
      <c r="C33" s="529" t="s">
        <v>70</v>
      </c>
      <c r="D33" s="530"/>
      <c r="E33" s="29"/>
      <c r="F33" s="334">
        <v>78</v>
      </c>
    </row>
    <row r="34" spans="1:6" s="13" customFormat="1" ht="13.5" thickBot="1" x14ac:dyDescent="0.3">
      <c r="A34" s="518"/>
      <c r="B34" s="520"/>
      <c r="C34" s="515" t="s">
        <v>111</v>
      </c>
      <c r="D34" s="516"/>
      <c r="E34" s="29"/>
      <c r="F34" s="343">
        <v>315</v>
      </c>
    </row>
    <row r="35" spans="1:6" s="13" customFormat="1" ht="17.45" customHeight="1" thickBot="1" x14ac:dyDescent="0.3">
      <c r="A35" s="47" t="s">
        <v>224</v>
      </c>
      <c r="B35" s="25" t="s">
        <v>223</v>
      </c>
      <c r="C35" s="531"/>
      <c r="D35" s="532"/>
      <c r="E35" s="30"/>
      <c r="F35" s="373"/>
    </row>
    <row r="36" spans="1:6" s="13" customFormat="1" x14ac:dyDescent="0.25">
      <c r="A36" s="517" t="s">
        <v>11</v>
      </c>
      <c r="B36" s="519"/>
      <c r="C36" s="521" t="s">
        <v>24</v>
      </c>
      <c r="D36" s="522"/>
      <c r="E36" s="29"/>
      <c r="F36" s="367">
        <v>9000</v>
      </c>
    </row>
    <row r="37" spans="1:6" s="13" customFormat="1" ht="13.5" thickBot="1" x14ac:dyDescent="0.3">
      <c r="A37" s="518"/>
      <c r="B37" s="520"/>
      <c r="C37" s="515" t="s">
        <v>22</v>
      </c>
      <c r="D37" s="516"/>
      <c r="E37" s="29"/>
      <c r="F37" s="343">
        <v>10000</v>
      </c>
    </row>
    <row r="38" spans="1:6" s="13" customFormat="1" x14ac:dyDescent="0.25">
      <c r="A38" s="517" t="s">
        <v>16</v>
      </c>
      <c r="B38" s="519"/>
      <c r="C38" s="521" t="s">
        <v>24</v>
      </c>
      <c r="D38" s="522"/>
      <c r="E38" s="29"/>
      <c r="F38" s="367">
        <v>17500</v>
      </c>
    </row>
    <row r="39" spans="1:6" s="13" customFormat="1" ht="13.5" thickBot="1" x14ac:dyDescent="0.3">
      <c r="A39" s="518"/>
      <c r="B39" s="520"/>
      <c r="C39" s="523" t="s">
        <v>23</v>
      </c>
      <c r="D39" s="524"/>
      <c r="E39" s="29"/>
      <c r="F39" s="343">
        <v>17500</v>
      </c>
    </row>
    <row r="40" spans="1:6" s="13" customFormat="1" ht="13.5" thickBot="1" x14ac:dyDescent="0.3">
      <c r="A40" s="47" t="s">
        <v>52</v>
      </c>
      <c r="B40" s="25" t="s">
        <v>53</v>
      </c>
      <c r="C40" s="531"/>
      <c r="D40" s="532"/>
      <c r="E40" s="30"/>
      <c r="F40" s="373"/>
    </row>
    <row r="41" spans="1:6" s="13" customFormat="1" x14ac:dyDescent="0.25">
      <c r="A41" s="517" t="s">
        <v>219</v>
      </c>
      <c r="B41" s="519" t="s">
        <v>222</v>
      </c>
      <c r="C41" s="521" t="s">
        <v>221</v>
      </c>
      <c r="D41" s="522"/>
      <c r="E41" s="29"/>
      <c r="F41" s="367" t="s">
        <v>424</v>
      </c>
    </row>
    <row r="42" spans="1:6" s="13" customFormat="1" ht="14.45" customHeight="1" x14ac:dyDescent="0.25">
      <c r="A42" s="525"/>
      <c r="B42" s="526"/>
      <c r="C42" s="527" t="s">
        <v>220</v>
      </c>
      <c r="D42" s="528"/>
      <c r="E42" s="29"/>
      <c r="F42" s="334" t="s">
        <v>425</v>
      </c>
    </row>
    <row r="43" spans="1:6" s="13" customFormat="1" ht="94.5" customHeight="1" thickBot="1" x14ac:dyDescent="0.3">
      <c r="A43" s="518"/>
      <c r="B43" s="526"/>
      <c r="C43" s="523"/>
      <c r="D43" s="524"/>
      <c r="E43" s="29"/>
      <c r="F43" s="329"/>
    </row>
    <row r="44" spans="1:6" s="13" customFormat="1" ht="29.45" customHeight="1" thickBot="1" x14ac:dyDescent="0.3">
      <c r="A44" s="47" t="s">
        <v>219</v>
      </c>
      <c r="B44" s="25" t="s">
        <v>218</v>
      </c>
      <c r="C44" s="531"/>
      <c r="D44" s="532"/>
      <c r="E44" s="30"/>
      <c r="F44" s="373"/>
    </row>
    <row r="45" spans="1:6" s="13" customFormat="1" ht="13.5" thickBot="1" x14ac:dyDescent="0.3">
      <c r="A45" s="541" t="s">
        <v>12</v>
      </c>
      <c r="B45" s="542" t="s">
        <v>142</v>
      </c>
      <c r="C45" s="521" t="s">
        <v>174</v>
      </c>
      <c r="D45" s="522"/>
      <c r="E45" s="29"/>
      <c r="F45" s="367" t="s">
        <v>398</v>
      </c>
    </row>
    <row r="46" spans="1:6" s="13" customFormat="1" ht="13.5" thickBot="1" x14ac:dyDescent="0.3">
      <c r="A46" s="541"/>
      <c r="B46" s="542"/>
      <c r="C46" s="527" t="s">
        <v>175</v>
      </c>
      <c r="D46" s="528"/>
      <c r="E46" s="29"/>
      <c r="F46" s="334">
        <v>5675</v>
      </c>
    </row>
    <row r="47" spans="1:6" s="13" customFormat="1" ht="13.5" thickBot="1" x14ac:dyDescent="0.3">
      <c r="A47" s="541"/>
      <c r="B47" s="542"/>
      <c r="C47" s="527" t="s">
        <v>176</v>
      </c>
      <c r="D47" s="528"/>
      <c r="E47" s="29"/>
      <c r="F47" s="419" t="s">
        <v>398</v>
      </c>
    </row>
    <row r="48" spans="1:6" s="13" customFormat="1" ht="13.5" thickBot="1" x14ac:dyDescent="0.3">
      <c r="A48" s="541"/>
      <c r="B48" s="542"/>
      <c r="C48" s="527" t="s">
        <v>177</v>
      </c>
      <c r="D48" s="528"/>
      <c r="E48" s="29"/>
      <c r="F48" s="334">
        <v>5355</v>
      </c>
    </row>
    <row r="49" spans="1:6" s="13" customFormat="1" ht="13.5" thickBot="1" x14ac:dyDescent="0.3">
      <c r="A49" s="541"/>
      <c r="B49" s="542"/>
      <c r="C49" s="527" t="s">
        <v>112</v>
      </c>
      <c r="D49" s="528"/>
      <c r="E49" s="29"/>
      <c r="F49" s="334" t="s">
        <v>399</v>
      </c>
    </row>
    <row r="50" spans="1:6" s="13" customFormat="1" ht="13.5" thickBot="1" x14ac:dyDescent="0.3">
      <c r="A50" s="541"/>
      <c r="B50" s="542"/>
      <c r="C50" s="527" t="s">
        <v>113</v>
      </c>
      <c r="D50" s="528"/>
      <c r="E50" s="29"/>
      <c r="F50" s="334" t="s">
        <v>400</v>
      </c>
    </row>
    <row r="51" spans="1:6" s="13" customFormat="1" ht="13.5" thickBot="1" x14ac:dyDescent="0.3">
      <c r="A51" s="541"/>
      <c r="B51" s="542"/>
      <c r="C51" s="529" t="s">
        <v>114</v>
      </c>
      <c r="D51" s="530"/>
      <c r="E51" s="29"/>
      <c r="F51" s="334" t="s">
        <v>401</v>
      </c>
    </row>
    <row r="52" spans="1:6" s="13" customFormat="1" ht="15.6" customHeight="1" thickBot="1" x14ac:dyDescent="0.3">
      <c r="A52" s="541"/>
      <c r="B52" s="542"/>
      <c r="C52" s="515" t="s">
        <v>115</v>
      </c>
      <c r="D52" s="516"/>
      <c r="E52" s="29"/>
      <c r="F52" s="343" t="s">
        <v>400</v>
      </c>
    </row>
    <row r="53" spans="1:6" s="13" customFormat="1" x14ac:dyDescent="0.25">
      <c r="A53" s="517" t="s">
        <v>10</v>
      </c>
      <c r="B53" s="519" t="s">
        <v>217</v>
      </c>
      <c r="C53" s="521" t="s">
        <v>116</v>
      </c>
      <c r="D53" s="522"/>
      <c r="E53" s="29"/>
      <c r="F53" s="367">
        <v>6</v>
      </c>
    </row>
    <row r="54" spans="1:6" s="13" customFormat="1" x14ac:dyDescent="0.25">
      <c r="A54" s="525"/>
      <c r="B54" s="526"/>
      <c r="C54" s="527" t="s">
        <v>117</v>
      </c>
      <c r="D54" s="528"/>
      <c r="E54" s="29"/>
      <c r="F54" s="334" t="s">
        <v>341</v>
      </c>
    </row>
    <row r="55" spans="1:6" s="13" customFormat="1" ht="13.5" thickBot="1" x14ac:dyDescent="0.3">
      <c r="A55" s="525"/>
      <c r="B55" s="526"/>
      <c r="C55" s="523" t="s">
        <v>71</v>
      </c>
      <c r="D55" s="524"/>
      <c r="E55" s="29"/>
      <c r="F55" s="329" t="s">
        <v>402</v>
      </c>
    </row>
    <row r="56" spans="1:6" s="13" customFormat="1" ht="81.599999999999994" customHeight="1" thickBot="1" x14ac:dyDescent="0.3">
      <c r="A56" s="48" t="s">
        <v>9</v>
      </c>
      <c r="B56" s="23" t="s">
        <v>254</v>
      </c>
      <c r="C56" s="529"/>
      <c r="D56" s="530"/>
      <c r="E56" s="29"/>
      <c r="F56" s="367"/>
    </row>
    <row r="57" spans="1:6" s="13" customFormat="1" ht="28.5" customHeight="1" thickBot="1" x14ac:dyDescent="0.3">
      <c r="A57" s="48" t="s">
        <v>253</v>
      </c>
      <c r="B57" s="23" t="s">
        <v>252</v>
      </c>
      <c r="C57" s="531"/>
      <c r="D57" s="532"/>
      <c r="E57" s="30"/>
      <c r="F57" s="384"/>
    </row>
    <row r="58" spans="1:6" s="13" customFormat="1" ht="25.5" x14ac:dyDescent="0.25">
      <c r="A58" s="517" t="s">
        <v>25</v>
      </c>
      <c r="B58" s="519" t="s">
        <v>93</v>
      </c>
      <c r="C58" s="521" t="s">
        <v>72</v>
      </c>
      <c r="D58" s="522"/>
      <c r="E58" s="29"/>
      <c r="F58" s="367" t="s">
        <v>403</v>
      </c>
    </row>
    <row r="59" spans="1:6" s="13" customFormat="1" ht="70.5" customHeight="1" thickBot="1" x14ac:dyDescent="0.3">
      <c r="A59" s="518"/>
      <c r="B59" s="520"/>
      <c r="C59" s="515" t="s">
        <v>73</v>
      </c>
      <c r="D59" s="516"/>
      <c r="E59" s="29"/>
      <c r="F59" s="343">
        <v>185</v>
      </c>
    </row>
    <row r="60" spans="1:6" s="13" customFormat="1" x14ac:dyDescent="0.25">
      <c r="A60" s="517" t="s">
        <v>26</v>
      </c>
      <c r="B60" s="519" t="s">
        <v>251</v>
      </c>
      <c r="C60" s="521" t="s">
        <v>74</v>
      </c>
      <c r="D60" s="522"/>
      <c r="E60" s="29"/>
      <c r="F60" s="367" t="s">
        <v>404</v>
      </c>
    </row>
    <row r="61" spans="1:6" s="13" customFormat="1" x14ac:dyDescent="0.25">
      <c r="A61" s="525"/>
      <c r="B61" s="526"/>
      <c r="C61" s="527" t="s">
        <v>75</v>
      </c>
      <c r="D61" s="528"/>
      <c r="E61" s="29"/>
      <c r="F61" s="334">
        <v>3</v>
      </c>
    </row>
    <row r="62" spans="1:6" s="13" customFormat="1" ht="32.25" customHeight="1" thickBot="1" x14ac:dyDescent="0.3">
      <c r="A62" s="518"/>
      <c r="B62" s="520"/>
      <c r="C62" s="515" t="s">
        <v>250</v>
      </c>
      <c r="D62" s="516"/>
      <c r="E62" s="29"/>
      <c r="F62" s="343" t="s">
        <v>405</v>
      </c>
    </row>
    <row r="63" spans="1:6" s="13" customFormat="1" ht="20.100000000000001" customHeight="1" thickBot="1" x14ac:dyDescent="0.3">
      <c r="A63" s="47" t="s">
        <v>44</v>
      </c>
      <c r="B63" s="25" t="s">
        <v>45</v>
      </c>
      <c r="C63" s="531"/>
      <c r="D63" s="532"/>
      <c r="E63" s="30"/>
      <c r="F63" s="384"/>
    </row>
    <row r="64" spans="1:6" s="13" customFormat="1" ht="28.5" customHeight="1" thickBot="1" x14ac:dyDescent="0.3">
      <c r="A64" s="47" t="s">
        <v>44</v>
      </c>
      <c r="B64" s="25" t="s">
        <v>63</v>
      </c>
      <c r="C64" s="531"/>
      <c r="D64" s="532"/>
      <c r="E64" s="30"/>
      <c r="F64" s="384"/>
    </row>
    <row r="65" spans="1:6" s="13" customFormat="1" ht="31.5" customHeight="1" thickBot="1" x14ac:dyDescent="0.3">
      <c r="A65" s="47" t="s">
        <v>44</v>
      </c>
      <c r="B65" s="25" t="s">
        <v>64</v>
      </c>
      <c r="C65" s="531"/>
      <c r="D65" s="532"/>
      <c r="E65" s="30"/>
      <c r="F65" s="384"/>
    </row>
    <row r="66" spans="1:6" s="13" customFormat="1" ht="30.95" customHeight="1" thickBot="1" x14ac:dyDescent="0.3">
      <c r="A66" s="47" t="s">
        <v>50</v>
      </c>
      <c r="B66" s="25" t="s">
        <v>216</v>
      </c>
      <c r="C66" s="531"/>
      <c r="D66" s="532"/>
      <c r="E66" s="30"/>
      <c r="F66" s="384"/>
    </row>
    <row r="67" spans="1:6" s="13" customFormat="1" ht="17.45" customHeight="1" thickBot="1" x14ac:dyDescent="0.3">
      <c r="A67" s="47" t="s">
        <v>27</v>
      </c>
      <c r="B67" s="25" t="s">
        <v>215</v>
      </c>
      <c r="C67" s="543" t="s">
        <v>77</v>
      </c>
      <c r="D67" s="544"/>
      <c r="E67" s="29"/>
      <c r="F67" s="373" t="s">
        <v>426</v>
      </c>
    </row>
    <row r="68" spans="1:6" s="13" customFormat="1" ht="54.6" customHeight="1" thickBot="1" x14ac:dyDescent="0.3">
      <c r="A68" s="47" t="s">
        <v>214</v>
      </c>
      <c r="B68" s="25" t="s">
        <v>213</v>
      </c>
      <c r="C68" s="543"/>
      <c r="D68" s="544"/>
      <c r="E68" s="29"/>
      <c r="F68" s="373"/>
    </row>
    <row r="69" spans="1:6" s="13" customFormat="1" ht="15" customHeight="1" x14ac:dyDescent="0.25">
      <c r="A69" s="517" t="s">
        <v>28</v>
      </c>
      <c r="B69" s="519" t="s">
        <v>249</v>
      </c>
      <c r="C69" s="749" t="s">
        <v>248</v>
      </c>
      <c r="D69" s="522"/>
      <c r="E69" s="29"/>
      <c r="F69" s="367" t="s">
        <v>427</v>
      </c>
    </row>
    <row r="70" spans="1:6" s="13" customFormat="1" ht="13.5" thickBot="1" x14ac:dyDescent="0.3">
      <c r="A70" s="518"/>
      <c r="B70" s="520"/>
      <c r="C70" s="584" t="s">
        <v>247</v>
      </c>
      <c r="D70" s="516"/>
      <c r="E70" s="29"/>
      <c r="F70" s="343" t="s">
        <v>428</v>
      </c>
    </row>
    <row r="71" spans="1:6" s="13" customFormat="1" ht="42.6" customHeight="1" thickBot="1" x14ac:dyDescent="0.3">
      <c r="A71" s="47" t="s">
        <v>51</v>
      </c>
      <c r="B71" s="25" t="s">
        <v>212</v>
      </c>
      <c r="C71" s="531"/>
      <c r="D71" s="532"/>
      <c r="E71" s="30"/>
      <c r="F71" s="373"/>
    </row>
    <row r="72" spans="1:6" s="13" customFormat="1" ht="41.1" customHeight="1" thickBot="1" x14ac:dyDescent="0.3">
      <c r="A72" s="47" t="s">
        <v>54</v>
      </c>
      <c r="B72" s="25" t="s">
        <v>80</v>
      </c>
      <c r="C72" s="531"/>
      <c r="D72" s="532"/>
      <c r="E72" s="30"/>
      <c r="F72" s="373"/>
    </row>
    <row r="73" spans="1:6" s="13" customFormat="1" ht="82.5" customHeight="1" thickBot="1" x14ac:dyDescent="0.3">
      <c r="A73" s="47" t="s">
        <v>29</v>
      </c>
      <c r="B73" s="25" t="s">
        <v>211</v>
      </c>
      <c r="C73" s="531"/>
      <c r="D73" s="532"/>
      <c r="E73" s="30"/>
      <c r="F73" s="373"/>
    </row>
    <row r="74" spans="1:6" s="13" customFormat="1" ht="68.45" customHeight="1" thickBot="1" x14ac:dyDescent="0.3">
      <c r="A74" s="47" t="s">
        <v>31</v>
      </c>
      <c r="B74" s="25" t="s">
        <v>210</v>
      </c>
      <c r="C74" s="543" t="s">
        <v>30</v>
      </c>
      <c r="D74" s="544"/>
      <c r="E74" s="29"/>
      <c r="F74" s="373" t="s">
        <v>408</v>
      </c>
    </row>
    <row r="75" spans="1:6" s="13" customFormat="1" ht="29.45" customHeight="1" thickBot="1" x14ac:dyDescent="0.3">
      <c r="A75" s="47" t="s">
        <v>55</v>
      </c>
      <c r="B75" s="25" t="s">
        <v>95</v>
      </c>
      <c r="C75" s="531"/>
      <c r="D75" s="532"/>
      <c r="E75" s="30"/>
      <c r="F75" s="373"/>
    </row>
    <row r="76" spans="1:6" s="13" customFormat="1" ht="30" customHeight="1" thickBot="1" x14ac:dyDescent="0.3">
      <c r="A76" s="47" t="s">
        <v>32</v>
      </c>
      <c r="B76" s="25" t="s">
        <v>96</v>
      </c>
      <c r="C76" s="543" t="s">
        <v>30</v>
      </c>
      <c r="D76" s="544"/>
      <c r="E76" s="29"/>
      <c r="F76" s="373" t="s">
        <v>409</v>
      </c>
    </row>
    <row r="77" spans="1:6" s="13" customFormat="1" ht="42" customHeight="1" thickBot="1" x14ac:dyDescent="0.3">
      <c r="A77" s="47" t="s">
        <v>56</v>
      </c>
      <c r="B77" s="25" t="s">
        <v>167</v>
      </c>
      <c r="C77" s="531"/>
      <c r="D77" s="532"/>
      <c r="E77" s="30"/>
      <c r="F77" s="373"/>
    </row>
    <row r="78" spans="1:6" s="13" customFormat="1" ht="29.45" customHeight="1" thickBot="1" x14ac:dyDescent="0.3">
      <c r="A78" s="47" t="s">
        <v>48</v>
      </c>
      <c r="B78" s="25" t="s">
        <v>47</v>
      </c>
      <c r="C78" s="531"/>
      <c r="D78" s="532"/>
      <c r="E78" s="30"/>
      <c r="F78" s="373"/>
    </row>
    <row r="79" spans="1:6" s="13" customFormat="1" ht="30.6" customHeight="1" thickBot="1" x14ac:dyDescent="0.3">
      <c r="A79" s="47" t="s">
        <v>49</v>
      </c>
      <c r="B79" s="25" t="s">
        <v>103</v>
      </c>
      <c r="C79" s="531"/>
      <c r="D79" s="532"/>
      <c r="E79" s="30"/>
      <c r="F79" s="373"/>
    </row>
    <row r="80" spans="1:6" s="13" customFormat="1" ht="28.5" customHeight="1" thickBot="1" x14ac:dyDescent="0.3">
      <c r="A80" s="47" t="s">
        <v>46</v>
      </c>
      <c r="B80" s="25" t="s">
        <v>81</v>
      </c>
      <c r="C80" s="531"/>
      <c r="D80" s="532"/>
      <c r="E80" s="30"/>
      <c r="F80" s="373"/>
    </row>
    <row r="81" spans="1:6" ht="13.5" thickBot="1" x14ac:dyDescent="0.25"/>
    <row r="82" spans="1:6" s="16" customFormat="1" ht="32.25" customHeight="1" thickBot="1" x14ac:dyDescent="0.3">
      <c r="A82" s="536" t="s">
        <v>168</v>
      </c>
      <c r="B82" s="537"/>
      <c r="C82" s="537"/>
      <c r="D82" s="538"/>
      <c r="E82" s="33"/>
      <c r="F82" s="414" t="s">
        <v>389</v>
      </c>
    </row>
    <row r="83" spans="1:6" s="3" customFormat="1" ht="15" customHeight="1" thickBot="1" x14ac:dyDescent="0.3">
      <c r="A83" s="545" t="s">
        <v>169</v>
      </c>
      <c r="B83" s="546"/>
      <c r="C83" s="546"/>
      <c r="D83" s="547"/>
      <c r="E83" s="34"/>
      <c r="F83" s="415" t="s">
        <v>19</v>
      </c>
    </row>
    <row r="84" spans="1:6" s="13" customFormat="1" ht="12.75" customHeight="1" x14ac:dyDescent="0.25">
      <c r="A84" s="548" t="s">
        <v>83</v>
      </c>
      <c r="B84" s="549"/>
      <c r="C84" s="549"/>
      <c r="D84" s="550"/>
      <c r="E84" s="30"/>
      <c r="F84" s="420">
        <f>-1010*('PPI Adj'!D6)</f>
        <v>-1178.67</v>
      </c>
    </row>
    <row r="85" spans="1:6" s="13" customFormat="1" ht="12.75" customHeight="1" x14ac:dyDescent="0.25">
      <c r="A85" s="551" t="s">
        <v>34</v>
      </c>
      <c r="B85" s="552"/>
      <c r="C85" s="552"/>
      <c r="D85" s="553"/>
      <c r="E85" s="29"/>
      <c r="F85" s="421">
        <f>947*('PPI Adj'!D6)</f>
        <v>1105.1490000000001</v>
      </c>
    </row>
    <row r="86" spans="1:6" s="13" customFormat="1" x14ac:dyDescent="0.25">
      <c r="A86" s="551" t="s">
        <v>35</v>
      </c>
      <c r="B86" s="552"/>
      <c r="C86" s="552"/>
      <c r="D86" s="553"/>
      <c r="E86" s="30"/>
      <c r="F86" s="421">
        <f>452*('PPI Adj'!D6)</f>
        <v>527.48400000000004</v>
      </c>
    </row>
    <row r="87" spans="1:6" s="13" customFormat="1" x14ac:dyDescent="0.25">
      <c r="A87" s="551" t="s">
        <v>36</v>
      </c>
      <c r="B87" s="552"/>
      <c r="C87" s="552"/>
      <c r="D87" s="553"/>
      <c r="E87" s="29"/>
      <c r="F87" s="421">
        <f>477.6*('PPI Adj'!D6)</f>
        <v>557.3592000000001</v>
      </c>
    </row>
    <row r="88" spans="1:6" s="13" customFormat="1" x14ac:dyDescent="0.25">
      <c r="A88" s="551" t="s">
        <v>60</v>
      </c>
      <c r="B88" s="552"/>
      <c r="C88" s="552"/>
      <c r="D88" s="553"/>
      <c r="E88" s="29"/>
      <c r="F88" s="421">
        <f>86*('PPI Adj'!D6)</f>
        <v>100.36200000000001</v>
      </c>
    </row>
    <row r="89" spans="1:6" s="13" customFormat="1" x14ac:dyDescent="0.25">
      <c r="A89" s="551" t="s">
        <v>61</v>
      </c>
      <c r="B89" s="552"/>
      <c r="C89" s="552"/>
      <c r="D89" s="553"/>
      <c r="E89" s="29"/>
      <c r="F89" s="421">
        <f>1419*('PPI Adj'!D6)</f>
        <v>1655.973</v>
      </c>
    </row>
    <row r="90" spans="1:6" s="13" customFormat="1" ht="12.75" customHeight="1" x14ac:dyDescent="0.25">
      <c r="A90" s="551" t="s">
        <v>86</v>
      </c>
      <c r="B90" s="552"/>
      <c r="C90" s="552"/>
      <c r="D90" s="553"/>
      <c r="E90" s="29"/>
      <c r="F90" s="421">
        <f>856*('PPI Adj'!D6)</f>
        <v>998.952</v>
      </c>
    </row>
    <row r="91" spans="1:6" ht="12.75" customHeight="1" x14ac:dyDescent="0.2">
      <c r="A91" s="551" t="s">
        <v>85</v>
      </c>
      <c r="B91" s="552"/>
      <c r="C91" s="552"/>
      <c r="D91" s="553"/>
      <c r="E91" s="29"/>
      <c r="F91" s="421">
        <f>6974*('PPI Adj'!D6)</f>
        <v>8138.6580000000004</v>
      </c>
    </row>
    <row r="92" spans="1:6" x14ac:dyDescent="0.2">
      <c r="A92" s="551" t="s">
        <v>13</v>
      </c>
      <c r="B92" s="552"/>
      <c r="C92" s="552"/>
      <c r="D92" s="553"/>
      <c r="E92" s="29"/>
      <c r="F92" s="421">
        <f>10801*('PPI Adj'!D6)</f>
        <v>12604.767</v>
      </c>
    </row>
    <row r="93" spans="1:6" ht="12.75" customHeight="1" x14ac:dyDescent="0.2">
      <c r="A93" s="551" t="s">
        <v>37</v>
      </c>
      <c r="B93" s="552"/>
      <c r="C93" s="552"/>
      <c r="D93" s="553"/>
      <c r="E93" s="30"/>
      <c r="F93" s="421">
        <f>595*('PPI Adj'!D6)</f>
        <v>694.36500000000001</v>
      </c>
    </row>
    <row r="94" spans="1:6" x14ac:dyDescent="0.2">
      <c r="A94" s="551" t="s">
        <v>38</v>
      </c>
      <c r="B94" s="552"/>
      <c r="C94" s="552"/>
      <c r="D94" s="553"/>
      <c r="E94" s="30"/>
      <c r="F94" s="421">
        <f>583*('PPI Adj'!D6)</f>
        <v>680.36099999999999</v>
      </c>
    </row>
    <row r="95" spans="1:6" x14ac:dyDescent="0.2">
      <c r="A95" s="551" t="s">
        <v>201</v>
      </c>
      <c r="B95" s="552"/>
      <c r="C95" s="552"/>
      <c r="D95" s="553"/>
      <c r="E95" s="30"/>
      <c r="F95" s="421" t="s">
        <v>183</v>
      </c>
    </row>
    <row r="96" spans="1:6" x14ac:dyDescent="0.2">
      <c r="A96" s="551" t="s">
        <v>39</v>
      </c>
      <c r="B96" s="552"/>
      <c r="C96" s="552"/>
      <c r="D96" s="553"/>
      <c r="E96" s="29"/>
      <c r="F96" s="421">
        <f>472*('PPI Adj'!D6)</f>
        <v>550.82400000000007</v>
      </c>
    </row>
    <row r="97" spans="1:6" ht="12.75" customHeight="1" x14ac:dyDescent="0.2">
      <c r="A97" s="551" t="s">
        <v>88</v>
      </c>
      <c r="B97" s="552"/>
      <c r="C97" s="552"/>
      <c r="D97" s="553"/>
      <c r="E97" s="29"/>
      <c r="F97" s="421">
        <f>4245*('PPI Adj'!D6)</f>
        <v>4953.915</v>
      </c>
    </row>
    <row r="98" spans="1:6" x14ac:dyDescent="0.2">
      <c r="A98" s="551" t="s">
        <v>40</v>
      </c>
      <c r="B98" s="552"/>
      <c r="C98" s="552"/>
      <c r="D98" s="553"/>
      <c r="E98" s="29"/>
      <c r="F98" s="421">
        <f>329*('PPI Adj'!D6)</f>
        <v>383.94300000000004</v>
      </c>
    </row>
    <row r="99" spans="1:6" x14ac:dyDescent="0.2">
      <c r="A99" s="551" t="s">
        <v>14</v>
      </c>
      <c r="B99" s="552"/>
      <c r="C99" s="552"/>
      <c r="D99" s="553"/>
      <c r="E99" s="29"/>
      <c r="F99" s="421">
        <f>8567*('PPI Adj'!D6)</f>
        <v>9997.6890000000003</v>
      </c>
    </row>
    <row r="100" spans="1:6" ht="12.75" customHeight="1" x14ac:dyDescent="0.2">
      <c r="A100" s="551" t="s">
        <v>91</v>
      </c>
      <c r="B100" s="552"/>
      <c r="C100" s="552"/>
      <c r="D100" s="553"/>
      <c r="E100" s="29"/>
      <c r="F100" s="421">
        <f>1971*('PPI Adj'!D6)</f>
        <v>2300.1570000000002</v>
      </c>
    </row>
    <row r="101" spans="1:6" ht="12.75" customHeight="1" x14ac:dyDescent="0.2">
      <c r="A101" s="557" t="s">
        <v>272</v>
      </c>
      <c r="B101" s="558"/>
      <c r="C101" s="558"/>
      <c r="D101" s="559"/>
      <c r="E101" s="29"/>
      <c r="F101" s="422">
        <f>-1775*('PPI Adj'!D6)</f>
        <v>-2071.4250000000002</v>
      </c>
    </row>
    <row r="102" spans="1:6" ht="13.5" thickBot="1" x14ac:dyDescent="0.25">
      <c r="A102" s="554" t="s">
        <v>92</v>
      </c>
      <c r="B102" s="555"/>
      <c r="C102" s="555"/>
      <c r="D102" s="556"/>
      <c r="E102" s="30"/>
      <c r="F102" s="423">
        <f>2023*('PPI Adj'!D6)</f>
        <v>2360.8409999999999</v>
      </c>
    </row>
    <row r="103" spans="1:6" ht="13.5" thickBot="1" x14ac:dyDescent="0.25"/>
    <row r="104" spans="1:6" s="16" customFormat="1" ht="32.25" thickBot="1" x14ac:dyDescent="0.3">
      <c r="A104" s="536" t="s">
        <v>166</v>
      </c>
      <c r="B104" s="537"/>
      <c r="C104" s="537"/>
      <c r="D104" s="538"/>
      <c r="E104" s="33"/>
      <c r="F104" s="414" t="s">
        <v>389</v>
      </c>
    </row>
    <row r="105" spans="1:6" s="3" customFormat="1" ht="15" customHeight="1" thickBot="1" x14ac:dyDescent="0.3">
      <c r="A105" s="49" t="s">
        <v>33</v>
      </c>
      <c r="B105" s="19" t="s">
        <v>7</v>
      </c>
      <c r="C105" s="560" t="s">
        <v>165</v>
      </c>
      <c r="D105" s="561"/>
      <c r="E105" s="34"/>
      <c r="F105" s="415" t="s">
        <v>19</v>
      </c>
    </row>
    <row r="106" spans="1:6" s="13" customFormat="1" ht="42.6" customHeight="1" thickBot="1" x14ac:dyDescent="0.3">
      <c r="A106" s="50" t="s">
        <v>83</v>
      </c>
      <c r="B106" s="18" t="s">
        <v>146</v>
      </c>
      <c r="C106" s="637"/>
      <c r="D106" s="753"/>
      <c r="E106" s="30"/>
      <c r="F106" s="373"/>
    </row>
    <row r="107" spans="1:6" s="13" customFormat="1" ht="26.25" thickBot="1" x14ac:dyDescent="0.3">
      <c r="A107" s="47" t="s">
        <v>34</v>
      </c>
      <c r="B107" s="25" t="s">
        <v>107</v>
      </c>
      <c r="C107" s="543" t="s">
        <v>30</v>
      </c>
      <c r="D107" s="544"/>
      <c r="E107" s="29"/>
      <c r="F107" s="373" t="s">
        <v>349</v>
      </c>
    </row>
    <row r="108" spans="1:6" s="13" customFormat="1" ht="54.6" customHeight="1" thickBot="1" x14ac:dyDescent="0.3">
      <c r="A108" s="47" t="s">
        <v>35</v>
      </c>
      <c r="B108" s="25" t="s">
        <v>97</v>
      </c>
      <c r="C108" s="531"/>
      <c r="D108" s="532"/>
      <c r="E108" s="30"/>
      <c r="F108" s="373"/>
    </row>
    <row r="109" spans="1:6" s="13" customFormat="1" ht="26.25" thickBot="1" x14ac:dyDescent="0.3">
      <c r="A109" s="47" t="s">
        <v>36</v>
      </c>
      <c r="B109" s="25" t="s">
        <v>84</v>
      </c>
      <c r="C109" s="543" t="s">
        <v>99</v>
      </c>
      <c r="D109" s="544"/>
      <c r="E109" s="29"/>
      <c r="F109" s="373" t="s">
        <v>410</v>
      </c>
    </row>
    <row r="110" spans="1:6" s="13" customFormat="1" ht="12.75" customHeight="1" x14ac:dyDescent="0.25">
      <c r="A110" s="517" t="s">
        <v>60</v>
      </c>
      <c r="B110" s="519" t="s">
        <v>133</v>
      </c>
      <c r="C110" s="521" t="s">
        <v>203</v>
      </c>
      <c r="D110" s="522"/>
      <c r="E110" s="29"/>
      <c r="F110" s="367" t="s">
        <v>398</v>
      </c>
    </row>
    <row r="111" spans="1:6" s="13" customFormat="1" ht="12.6" customHeight="1" x14ac:dyDescent="0.25">
      <c r="A111" s="525"/>
      <c r="B111" s="526"/>
      <c r="C111" s="527" t="s">
        <v>202</v>
      </c>
      <c r="D111" s="528"/>
      <c r="E111" s="29"/>
      <c r="F111" s="334">
        <v>5675</v>
      </c>
    </row>
    <row r="112" spans="1:6" s="13" customFormat="1" ht="12.6" customHeight="1" x14ac:dyDescent="0.25">
      <c r="A112" s="525"/>
      <c r="B112" s="526"/>
      <c r="C112" s="527" t="s">
        <v>114</v>
      </c>
      <c r="D112" s="528"/>
      <c r="E112" s="29"/>
      <c r="F112" s="334" t="s">
        <v>411</v>
      </c>
    </row>
    <row r="113" spans="1:6" s="13" customFormat="1" ht="30.75" customHeight="1" thickBot="1" x14ac:dyDescent="0.3">
      <c r="A113" s="518"/>
      <c r="B113" s="520"/>
      <c r="C113" s="523" t="s">
        <v>115</v>
      </c>
      <c r="D113" s="524"/>
      <c r="E113" s="29"/>
      <c r="F113" s="343" t="s">
        <v>412</v>
      </c>
    </row>
    <row r="114" spans="1:6" s="13" customFormat="1" ht="12.75" customHeight="1" x14ac:dyDescent="0.25">
      <c r="A114" s="517" t="s">
        <v>61</v>
      </c>
      <c r="B114" s="519" t="s">
        <v>206</v>
      </c>
      <c r="C114" s="521" t="s">
        <v>205</v>
      </c>
      <c r="D114" s="522"/>
      <c r="E114" s="29"/>
      <c r="F114" s="367" t="s">
        <v>413</v>
      </c>
    </row>
    <row r="115" spans="1:6" s="13" customFormat="1" ht="12.6" customHeight="1" x14ac:dyDescent="0.25">
      <c r="A115" s="525"/>
      <c r="B115" s="526"/>
      <c r="C115" s="527" t="s">
        <v>204</v>
      </c>
      <c r="D115" s="528"/>
      <c r="E115" s="29"/>
      <c r="F115" s="419">
        <v>6610</v>
      </c>
    </row>
    <row r="116" spans="1:6" s="13" customFormat="1" ht="12.6" customHeight="1" x14ac:dyDescent="0.25">
      <c r="A116" s="525"/>
      <c r="B116" s="526"/>
      <c r="C116" s="527" t="s">
        <v>203</v>
      </c>
      <c r="D116" s="528"/>
      <c r="E116" s="29"/>
      <c r="F116" s="419" t="s">
        <v>413</v>
      </c>
    </row>
    <row r="117" spans="1:6" s="13" customFormat="1" ht="12.6" customHeight="1" x14ac:dyDescent="0.25">
      <c r="A117" s="525"/>
      <c r="B117" s="526"/>
      <c r="C117" s="527" t="s">
        <v>202</v>
      </c>
      <c r="D117" s="528"/>
      <c r="E117" s="29"/>
      <c r="F117" s="334">
        <v>6005</v>
      </c>
    </row>
    <row r="118" spans="1:6" s="13" customFormat="1" ht="12.6" customHeight="1" x14ac:dyDescent="0.25">
      <c r="A118" s="525"/>
      <c r="B118" s="526"/>
      <c r="C118" s="527" t="s">
        <v>112</v>
      </c>
      <c r="D118" s="528"/>
      <c r="E118" s="29"/>
      <c r="F118" s="334" t="s">
        <v>414</v>
      </c>
    </row>
    <row r="119" spans="1:6" s="13" customFormat="1" ht="12.6" customHeight="1" x14ac:dyDescent="0.25">
      <c r="A119" s="525"/>
      <c r="B119" s="526"/>
      <c r="C119" s="527" t="s">
        <v>113</v>
      </c>
      <c r="D119" s="528"/>
      <c r="E119" s="29"/>
      <c r="F119" s="419" t="s">
        <v>415</v>
      </c>
    </row>
    <row r="120" spans="1:6" s="13" customFormat="1" ht="12.6" customHeight="1" x14ac:dyDescent="0.25">
      <c r="A120" s="525"/>
      <c r="B120" s="526"/>
      <c r="C120" s="527" t="s">
        <v>114</v>
      </c>
      <c r="D120" s="528"/>
      <c r="E120" s="29"/>
      <c r="F120" s="419" t="s">
        <v>416</v>
      </c>
    </row>
    <row r="121" spans="1:6" s="13" customFormat="1" ht="12.95" customHeight="1" thickBot="1" x14ac:dyDescent="0.3">
      <c r="A121" s="518"/>
      <c r="B121" s="520"/>
      <c r="C121" s="523" t="s">
        <v>115</v>
      </c>
      <c r="D121" s="524"/>
      <c r="E121" s="29"/>
      <c r="F121" s="343" t="s">
        <v>415</v>
      </c>
    </row>
    <row r="122" spans="1:6" s="13" customFormat="1" ht="146.44999999999999" customHeight="1" thickBot="1" x14ac:dyDescent="0.3">
      <c r="A122" s="51" t="s">
        <v>86</v>
      </c>
      <c r="B122" s="17" t="s">
        <v>143</v>
      </c>
      <c r="C122" s="543" t="s">
        <v>104</v>
      </c>
      <c r="D122" s="544"/>
      <c r="E122" s="29"/>
      <c r="F122" s="367" t="s">
        <v>417</v>
      </c>
    </row>
    <row r="123" spans="1:6" ht="168.95" customHeight="1" thickBot="1" x14ac:dyDescent="0.25">
      <c r="A123" s="47" t="s">
        <v>85</v>
      </c>
      <c r="B123" s="14" t="s">
        <v>170</v>
      </c>
      <c r="C123" s="543" t="s">
        <v>104</v>
      </c>
      <c r="D123" s="544"/>
      <c r="E123" s="29"/>
      <c r="F123" s="373" t="s">
        <v>418</v>
      </c>
    </row>
    <row r="124" spans="1:6" ht="24.95" customHeight="1" x14ac:dyDescent="0.2">
      <c r="A124" s="517" t="s">
        <v>13</v>
      </c>
      <c r="B124" s="519" t="s">
        <v>98</v>
      </c>
      <c r="C124" s="521" t="s">
        <v>30</v>
      </c>
      <c r="D124" s="522"/>
      <c r="E124" s="29"/>
      <c r="F124" s="367" t="s">
        <v>419</v>
      </c>
    </row>
    <row r="125" spans="1:6" ht="30.6" customHeight="1" thickBot="1" x14ac:dyDescent="0.25">
      <c r="A125" s="518"/>
      <c r="B125" s="520"/>
      <c r="C125" s="523" t="s">
        <v>109</v>
      </c>
      <c r="D125" s="524"/>
      <c r="E125" s="29"/>
      <c r="F125" s="343" t="s">
        <v>359</v>
      </c>
    </row>
    <row r="126" spans="1:6" ht="70.5" customHeight="1" thickBot="1" x14ac:dyDescent="0.25">
      <c r="A126" s="47" t="s">
        <v>37</v>
      </c>
      <c r="B126" s="25" t="s">
        <v>135</v>
      </c>
      <c r="C126" s="531"/>
      <c r="D126" s="532"/>
      <c r="E126" s="30"/>
      <c r="F126" s="373" t="s">
        <v>375</v>
      </c>
    </row>
    <row r="127" spans="1:6" ht="42.95" customHeight="1" thickBot="1" x14ac:dyDescent="0.25">
      <c r="A127" s="47" t="s">
        <v>38</v>
      </c>
      <c r="B127" s="25" t="s">
        <v>87</v>
      </c>
      <c r="C127" s="531"/>
      <c r="D127" s="532"/>
      <c r="E127" s="30"/>
      <c r="F127" s="373"/>
    </row>
    <row r="128" spans="1:6" ht="18.95" customHeight="1" thickBot="1" x14ac:dyDescent="0.25">
      <c r="A128" s="47" t="s">
        <v>201</v>
      </c>
      <c r="B128" s="25" t="s">
        <v>200</v>
      </c>
      <c r="C128" s="543"/>
      <c r="D128" s="544"/>
      <c r="E128" s="29"/>
      <c r="F128" s="373"/>
    </row>
    <row r="129" spans="1:6" ht="30" customHeight="1" thickBot="1" x14ac:dyDescent="0.25">
      <c r="A129" s="47" t="s">
        <v>39</v>
      </c>
      <c r="B129" s="25" t="s">
        <v>106</v>
      </c>
      <c r="C129" s="543" t="s">
        <v>105</v>
      </c>
      <c r="D129" s="544"/>
      <c r="E129" s="29"/>
      <c r="F129" s="373" t="s">
        <v>323</v>
      </c>
    </row>
    <row r="130" spans="1:6" ht="12.6" customHeight="1" x14ac:dyDescent="0.2">
      <c r="A130" s="517" t="s">
        <v>88</v>
      </c>
      <c r="B130" s="519" t="s">
        <v>148</v>
      </c>
      <c r="C130" s="521" t="s">
        <v>100</v>
      </c>
      <c r="D130" s="522"/>
      <c r="E130" s="29"/>
      <c r="F130" s="367" t="s">
        <v>420</v>
      </c>
    </row>
    <row r="131" spans="1:6" ht="108" customHeight="1" thickBot="1" x14ac:dyDescent="0.25">
      <c r="A131" s="518"/>
      <c r="B131" s="520"/>
      <c r="C131" s="523" t="s">
        <v>110</v>
      </c>
      <c r="D131" s="524"/>
      <c r="E131" s="29"/>
      <c r="F131" s="424" t="s">
        <v>421</v>
      </c>
    </row>
    <row r="132" spans="1:6" ht="26.25" thickBot="1" x14ac:dyDescent="0.25">
      <c r="A132" s="47" t="s">
        <v>40</v>
      </c>
      <c r="B132" s="25" t="s">
        <v>137</v>
      </c>
      <c r="C132" s="543" t="s">
        <v>100</v>
      </c>
      <c r="D132" s="544"/>
      <c r="E132" s="29"/>
      <c r="F132" s="343" t="s">
        <v>360</v>
      </c>
    </row>
    <row r="133" spans="1:6" ht="54.95" customHeight="1" thickBot="1" x14ac:dyDescent="0.25">
      <c r="A133" s="47" t="s">
        <v>14</v>
      </c>
      <c r="B133" s="25" t="s">
        <v>138</v>
      </c>
      <c r="C133" s="543" t="s">
        <v>139</v>
      </c>
      <c r="D133" s="544"/>
      <c r="E133" s="29"/>
      <c r="F133" s="373">
        <v>2</v>
      </c>
    </row>
    <row r="134" spans="1:6" ht="69.95" customHeight="1" thickBot="1" x14ac:dyDescent="0.25">
      <c r="A134" s="47" t="s">
        <v>91</v>
      </c>
      <c r="B134" s="25" t="s">
        <v>144</v>
      </c>
      <c r="C134" s="543" t="s">
        <v>100</v>
      </c>
      <c r="D134" s="544"/>
      <c r="E134" s="29"/>
      <c r="F134" s="373" t="s">
        <v>361</v>
      </c>
    </row>
    <row r="135" spans="1:6" ht="69.95" customHeight="1" thickBot="1" x14ac:dyDescent="0.25">
      <c r="A135" s="47" t="s">
        <v>92</v>
      </c>
      <c r="B135" s="25" t="s">
        <v>145</v>
      </c>
      <c r="C135" s="531"/>
      <c r="D135" s="532"/>
      <c r="E135" s="30"/>
      <c r="F135" s="373"/>
    </row>
  </sheetData>
  <sheetProtection algorithmName="SHA-512" hashValue="wbLvKr68UAuDku3Y6bRql+JnWpbE3QAQxBe1Z0HM2g0/CVeffuhf0IV2ZLY6dvLJSGL4O5hfVkj7Bk01SBVZrw==" saltValue="ZBiYslhNR3SoXZJYqNC3BA==" spinCount="100000" sheet="1" objects="1" scenarios="1"/>
  <dataConsolidate/>
  <mergeCells count="154">
    <mergeCell ref="A101:D101"/>
    <mergeCell ref="A110:A113"/>
    <mergeCell ref="B110:B113"/>
    <mergeCell ref="C110:D110"/>
    <mergeCell ref="C111:D111"/>
    <mergeCell ref="C112:D112"/>
    <mergeCell ref="C113:D113"/>
    <mergeCell ref="C132:D132"/>
    <mergeCell ref="C133:D133"/>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A94:D94"/>
    <mergeCell ref="A83:D83"/>
    <mergeCell ref="A84:D84"/>
    <mergeCell ref="A85:D85"/>
    <mergeCell ref="A86:D86"/>
    <mergeCell ref="A87:D87"/>
    <mergeCell ref="A88:D88"/>
    <mergeCell ref="C77:D77"/>
    <mergeCell ref="C78:D78"/>
    <mergeCell ref="C79:D79"/>
    <mergeCell ref="C80:D80"/>
    <mergeCell ref="A82:D82"/>
    <mergeCell ref="C71:D71"/>
    <mergeCell ref="C72:D72"/>
    <mergeCell ref="C73:D73"/>
    <mergeCell ref="C74:D74"/>
    <mergeCell ref="C75:D75"/>
    <mergeCell ref="C64:D64"/>
    <mergeCell ref="C65:D65"/>
    <mergeCell ref="C66:D66"/>
    <mergeCell ref="C67:D67"/>
    <mergeCell ref="C68:D68"/>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44:D44"/>
    <mergeCell ref="A53:A55"/>
    <mergeCell ref="B53:B55"/>
    <mergeCell ref="C53:D53"/>
    <mergeCell ref="C54:D54"/>
    <mergeCell ref="C55:D55"/>
    <mergeCell ref="C48:D48"/>
    <mergeCell ref="C49:D49"/>
    <mergeCell ref="C50:D50"/>
    <mergeCell ref="C51:D51"/>
    <mergeCell ref="C52:D52"/>
    <mergeCell ref="A45:A52"/>
    <mergeCell ref="B45:B52"/>
    <mergeCell ref="C45:D45"/>
    <mergeCell ref="C46:D46"/>
    <mergeCell ref="C47:D47"/>
    <mergeCell ref="A36:A37"/>
    <mergeCell ref="B36:B37"/>
    <mergeCell ref="C36:D36"/>
    <mergeCell ref="C37:D37"/>
    <mergeCell ref="A27:A28"/>
    <mergeCell ref="B27:B28"/>
    <mergeCell ref="C27:D27"/>
    <mergeCell ref="B21:D21"/>
    <mergeCell ref="B22:D22"/>
    <mergeCell ref="A24:D24"/>
    <mergeCell ref="C25:D25"/>
    <mergeCell ref="C26:D26"/>
    <mergeCell ref="C28:D28"/>
    <mergeCell ref="C29:D29"/>
    <mergeCell ref="A30:A34"/>
    <mergeCell ref="B30:B34"/>
    <mergeCell ref="C30:D30"/>
    <mergeCell ref="C31:D31"/>
    <mergeCell ref="C32:D32"/>
    <mergeCell ref="A41:A43"/>
    <mergeCell ref="B41:B43"/>
    <mergeCell ref="C41:D41"/>
    <mergeCell ref="C42:D42"/>
    <mergeCell ref="C43:D43"/>
    <mergeCell ref="A38:A39"/>
    <mergeCell ref="B38:B39"/>
    <mergeCell ref="C38:D38"/>
    <mergeCell ref="C39:D39"/>
    <mergeCell ref="C40:D40"/>
    <mergeCell ref="A19:D19"/>
    <mergeCell ref="C33:D33"/>
    <mergeCell ref="C34:D34"/>
    <mergeCell ref="A3:D3"/>
    <mergeCell ref="A4:D4"/>
    <mergeCell ref="A6:D6"/>
    <mergeCell ref="B8:D8"/>
    <mergeCell ref="B13:D13"/>
    <mergeCell ref="B14:D14"/>
    <mergeCell ref="B15:D15"/>
    <mergeCell ref="B16:D16"/>
    <mergeCell ref="B17:D17"/>
    <mergeCell ref="B9:D9"/>
    <mergeCell ref="B10:D10"/>
    <mergeCell ref="B11:D11"/>
    <mergeCell ref="B12:D12"/>
  </mergeCells>
  <conditionalFormatting sqref="C56 C65">
    <cfRule type="expression" dxfId="128" priority="198">
      <formula>#REF!="NO"</formula>
    </cfRule>
  </conditionalFormatting>
  <conditionalFormatting sqref="C41:D43">
    <cfRule type="expression" dxfId="127" priority="185">
      <formula>$F$2="NO"</formula>
    </cfRule>
  </conditionalFormatting>
  <conditionalFormatting sqref="C26:E40">
    <cfRule type="expression" dxfId="126" priority="187">
      <formula>#REF!="NO"</formula>
    </cfRule>
  </conditionalFormatting>
  <conditionalFormatting sqref="C44:E80">
    <cfRule type="expression" dxfId="125" priority="184">
      <formula>#REF!="NO"</formula>
    </cfRule>
  </conditionalFormatting>
  <conditionalFormatting sqref="C106:E127">
    <cfRule type="expression" dxfId="124" priority="193">
      <formula>#REF!="NO"</formula>
    </cfRule>
  </conditionalFormatting>
  <conditionalFormatting sqref="C129:E135">
    <cfRule type="expression" dxfId="123" priority="197">
      <formula>#REF!="NO"</formula>
    </cfRule>
  </conditionalFormatting>
  <conditionalFormatting sqref="C128:F128">
    <cfRule type="expression" dxfId="122" priority="188">
      <formula>#REF!="NO"</formula>
    </cfRule>
  </conditionalFormatting>
  <conditionalFormatting sqref="E41:E43">
    <cfRule type="expression" dxfId="121" priority="186">
      <formula>#REF!="NO"</formula>
    </cfRule>
  </conditionalFormatting>
  <conditionalFormatting sqref="E84:F102">
    <cfRule type="expression" dxfId="120" priority="1">
      <formula>#REF!="NO"</formula>
    </cfRule>
  </conditionalFormatting>
  <conditionalFormatting sqref="F8:F17">
    <cfRule type="expression" dxfId="119" priority="179">
      <formula>#REF!="NO"</formula>
    </cfRule>
  </conditionalFormatting>
  <conditionalFormatting sqref="F21:F22">
    <cfRule type="expression" dxfId="118" priority="180">
      <formula>#REF!="NO"</formula>
    </cfRule>
  </conditionalFormatting>
  <conditionalFormatting sqref="F26:F80">
    <cfRule type="expression" dxfId="117" priority="163">
      <formula>#REF!="NO"</formula>
    </cfRule>
  </conditionalFormatting>
  <conditionalFormatting sqref="F106:F135">
    <cfRule type="expression" dxfId="116" priority="159">
      <formula>#REF!="NO"</formula>
    </cfRule>
  </conditionalFormatting>
  <dataValidations count="3">
    <dataValidation type="decimal" operator="greaterThanOrEqual" allowBlank="1" showInputMessage="1" showErrorMessage="1" error="The Pickup Allowance cannot be a negative number." sqref="F16" xr:uid="{00000000-0002-0000-0200-000002000000}">
      <formula1>0</formula1>
    </dataValidation>
    <dataValidation type="decimal" allowBlank="1" showInputMessage="1" showErrorMessage="1" error="Invalid Entry - Bidder must enter a value that is greater than $0" sqref="F21" xr:uid="{00000000-0002-0000-0200-000001000000}">
      <formula1>0</formula1>
      <formula2>9E+21</formula2>
    </dataValidation>
    <dataValidation type="decimal" allowBlank="1" showInputMessage="1" showErrorMessage="1" error="The Additional Options NYS Discount entered must be greater than 0%, or less than or equal to 100%." sqref="F22" xr:uid="{00000000-0002-0000-0200-000000000000}">
      <formula1>0.01</formula1>
      <formula2>100</formula2>
    </dataValidation>
  </dataValidations>
  <pageMargins left="0.25" right="0.25" top="0.5" bottom="0.25" header="0.3" footer="0.3"/>
  <pageSetup scale="93" fitToHeight="0" orientation="landscape" r:id="rId1"/>
  <rowBreaks count="2" manualBreakCount="2">
    <brk id="57" max="6" man="1"/>
    <brk id="10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8D6D0-38E5-422C-8EFB-CD513439496C}">
  <sheetPr>
    <tabColor theme="5"/>
    <pageSetUpPr autoPageBreaks="0" fitToPage="1"/>
  </sheetPr>
  <dimension ref="A1:H115"/>
  <sheetViews>
    <sheetView showGridLines="0" zoomScaleNormal="100" workbookViewId="0">
      <selection activeCell="A3" sqref="A3:D3"/>
    </sheetView>
  </sheetViews>
  <sheetFormatPr defaultColWidth="9.140625" defaultRowHeight="12.75" x14ac:dyDescent="0.2"/>
  <cols>
    <col min="1" max="1" width="19.140625" style="301" customWidth="1"/>
    <col min="2" max="2" width="75.28515625" style="301" customWidth="1"/>
    <col min="3" max="3" width="6.85546875" style="301" customWidth="1"/>
    <col min="4" max="4" width="29.42578125" style="301" customWidth="1"/>
    <col min="5" max="5" width="5.7109375" style="385" customWidth="1"/>
    <col min="6" max="9" width="20.7109375" style="301" customWidth="1"/>
    <col min="10" max="16384" width="9.140625" style="301"/>
  </cols>
  <sheetData>
    <row r="1" spans="1:8" ht="18" customHeight="1" x14ac:dyDescent="0.2">
      <c r="A1" s="303" t="str">
        <f>'A (Item 2-G)'!$A$1</f>
        <v>GROUP 40524-23254, SCHOOL BUSES (Statewide)                                                             Attachment 1 - Specifications and Pricing (Revised October 15, 2026)</v>
      </c>
      <c r="E1" s="301"/>
    </row>
    <row r="2" spans="1:8" s="302" customFormat="1" ht="18" customHeight="1" thickBot="1" x14ac:dyDescent="0.3">
      <c r="A2" s="302" t="str">
        <f>'Attachment 1 - Summary'!B2</f>
        <v>PC69863 Nesco Bus and Truck Sales, Inc.</v>
      </c>
      <c r="B2" s="303"/>
      <c r="C2" s="303"/>
      <c r="D2" s="303"/>
      <c r="E2" s="303"/>
      <c r="F2" s="303"/>
      <c r="G2" s="303"/>
      <c r="H2" s="303"/>
    </row>
    <row r="3" spans="1:8" ht="23.25" x14ac:dyDescent="0.2">
      <c r="A3" s="807" t="s">
        <v>599</v>
      </c>
      <c r="B3" s="808"/>
      <c r="C3" s="808"/>
      <c r="D3" s="809"/>
      <c r="E3" s="304"/>
      <c r="F3" s="304"/>
      <c r="G3" s="304"/>
    </row>
    <row r="4" spans="1:8" ht="51" customHeight="1" thickBot="1" x14ac:dyDescent="0.25">
      <c r="A4" s="810" t="s">
        <v>598</v>
      </c>
      <c r="B4" s="811"/>
      <c r="C4" s="811"/>
      <c r="D4" s="812"/>
      <c r="E4" s="304"/>
      <c r="F4" s="304"/>
      <c r="G4" s="304"/>
    </row>
    <row r="5" spans="1:8" s="286" customFormat="1" ht="11.25" customHeight="1" thickBot="1" x14ac:dyDescent="0.3">
      <c r="A5" s="802"/>
      <c r="B5" s="802"/>
      <c r="C5" s="802"/>
      <c r="D5" s="803"/>
      <c r="E5" s="803"/>
      <c r="F5" s="305"/>
      <c r="G5" s="305"/>
    </row>
    <row r="6" spans="1:8" s="311" customFormat="1" ht="16.5" customHeight="1" thickBot="1" x14ac:dyDescent="0.25">
      <c r="A6" s="306" t="s">
        <v>151</v>
      </c>
      <c r="B6" s="307"/>
      <c r="C6" s="307"/>
      <c r="D6" s="308"/>
      <c r="E6" s="309"/>
      <c r="F6" s="310" t="s">
        <v>392</v>
      </c>
    </row>
    <row r="7" spans="1:8" s="286" customFormat="1" ht="23.25" customHeight="1" thickBot="1" x14ac:dyDescent="0.3">
      <c r="A7" s="312" t="s">
        <v>6</v>
      </c>
      <c r="B7" s="313" t="s">
        <v>660</v>
      </c>
      <c r="C7" s="314"/>
      <c r="D7" s="315"/>
      <c r="E7" s="316"/>
      <c r="F7" s="317" t="s">
        <v>184</v>
      </c>
    </row>
    <row r="8" spans="1:8" ht="66.75" customHeight="1" thickTop="1" thickBot="1" x14ac:dyDescent="0.25">
      <c r="A8" s="318" t="s">
        <v>185</v>
      </c>
      <c r="B8" s="319" t="s">
        <v>654</v>
      </c>
      <c r="C8" s="320"/>
      <c r="D8" s="321"/>
      <c r="E8" s="322"/>
      <c r="F8" s="323" t="s">
        <v>597</v>
      </c>
    </row>
    <row r="9" spans="1:8" s="311" customFormat="1" ht="36" customHeight="1" thickTop="1" thickBot="1" x14ac:dyDescent="0.25">
      <c r="A9" s="318" t="s">
        <v>136</v>
      </c>
      <c r="B9" s="804" t="s">
        <v>613</v>
      </c>
      <c r="C9" s="805"/>
      <c r="D9" s="806"/>
      <c r="E9" s="322"/>
      <c r="F9" s="324" t="s">
        <v>655</v>
      </c>
    </row>
    <row r="10" spans="1:8" ht="12.75" customHeight="1" thickTop="1" x14ac:dyDescent="0.2">
      <c r="A10" s="325" t="s">
        <v>563</v>
      </c>
      <c r="B10" s="326" t="s">
        <v>617</v>
      </c>
      <c r="C10" s="327"/>
      <c r="D10" s="328"/>
      <c r="E10" s="322"/>
      <c r="F10" s="329">
        <v>2024</v>
      </c>
    </row>
    <row r="11" spans="1:8" ht="12.75" customHeight="1" x14ac:dyDescent="0.2">
      <c r="A11" s="330" t="s">
        <v>0</v>
      </c>
      <c r="B11" s="331" t="s">
        <v>618</v>
      </c>
      <c r="C11" s="332"/>
      <c r="D11" s="333"/>
      <c r="E11" s="322"/>
      <c r="F11" s="334" t="s">
        <v>392</v>
      </c>
    </row>
    <row r="12" spans="1:8" x14ac:dyDescent="0.2">
      <c r="A12" s="330" t="s">
        <v>1</v>
      </c>
      <c r="B12" s="331" t="s">
        <v>619</v>
      </c>
      <c r="C12" s="332"/>
      <c r="D12" s="333"/>
      <c r="E12" s="322"/>
      <c r="F12" s="334" t="s">
        <v>393</v>
      </c>
    </row>
    <row r="13" spans="1:8" ht="12.75" customHeight="1" thickBot="1" x14ac:dyDescent="0.25">
      <c r="A13" s="335" t="s">
        <v>2</v>
      </c>
      <c r="B13" s="799" t="s">
        <v>620</v>
      </c>
      <c r="C13" s="800"/>
      <c r="D13" s="801"/>
      <c r="E13" s="322"/>
      <c r="F13" s="336" t="s">
        <v>394</v>
      </c>
    </row>
    <row r="14" spans="1:8" ht="12.75" customHeight="1" thickTop="1" x14ac:dyDescent="0.2">
      <c r="A14" s="325" t="s">
        <v>556</v>
      </c>
      <c r="B14" s="337" t="s">
        <v>621</v>
      </c>
      <c r="C14" s="338"/>
      <c r="D14" s="339"/>
      <c r="E14" s="322"/>
      <c r="F14" s="329">
        <v>2024</v>
      </c>
    </row>
    <row r="15" spans="1:8" x14ac:dyDescent="0.2">
      <c r="A15" s="330" t="s">
        <v>3</v>
      </c>
      <c r="B15" s="331" t="s">
        <v>656</v>
      </c>
      <c r="C15" s="332"/>
      <c r="D15" s="333"/>
      <c r="E15" s="322"/>
      <c r="F15" s="334" t="s">
        <v>334</v>
      </c>
    </row>
    <row r="16" spans="1:8" x14ac:dyDescent="0.2">
      <c r="A16" s="330" t="s">
        <v>4</v>
      </c>
      <c r="B16" s="331" t="s">
        <v>657</v>
      </c>
      <c r="C16" s="332"/>
      <c r="D16" s="333"/>
      <c r="E16" s="322"/>
      <c r="F16" s="334" t="s">
        <v>395</v>
      </c>
    </row>
    <row r="17" spans="1:8" ht="12.75" customHeight="1" thickBot="1" x14ac:dyDescent="0.25">
      <c r="A17" s="340" t="s">
        <v>5</v>
      </c>
      <c r="B17" s="799" t="s">
        <v>624</v>
      </c>
      <c r="C17" s="800"/>
      <c r="D17" s="801"/>
      <c r="E17" s="322"/>
      <c r="F17" s="341" t="s">
        <v>423</v>
      </c>
    </row>
    <row r="18" spans="1:8" ht="29.25" customHeight="1" thickTop="1" x14ac:dyDescent="0.2">
      <c r="A18" s="330" t="s">
        <v>101</v>
      </c>
      <c r="B18" s="813" t="s">
        <v>226</v>
      </c>
      <c r="C18" s="814"/>
      <c r="D18" s="815"/>
      <c r="E18" s="322"/>
      <c r="F18" s="342">
        <v>100</v>
      </c>
    </row>
    <row r="19" spans="1:8" ht="30.75" customHeight="1" thickBot="1" x14ac:dyDescent="0.25">
      <c r="A19" s="340" t="s">
        <v>43</v>
      </c>
      <c r="B19" s="799" t="s">
        <v>626</v>
      </c>
      <c r="C19" s="800"/>
      <c r="D19" s="801"/>
      <c r="E19" s="322"/>
      <c r="F19" s="343" t="s">
        <v>366</v>
      </c>
    </row>
    <row r="20" spans="1:8" s="344" customFormat="1" ht="14.25" thickTop="1" thickBot="1" x14ac:dyDescent="0.25">
      <c r="E20" s="345"/>
      <c r="F20" s="345"/>
      <c r="G20" s="345"/>
      <c r="H20" s="345"/>
    </row>
    <row r="21" spans="1:8" s="350" customFormat="1" ht="16.5" customHeight="1" thickBot="1" x14ac:dyDescent="0.25">
      <c r="A21" s="346" t="s">
        <v>658</v>
      </c>
      <c r="B21" s="347"/>
      <c r="C21" s="347"/>
      <c r="D21" s="348"/>
      <c r="E21" s="349"/>
      <c r="F21" s="310" t="s">
        <v>392</v>
      </c>
    </row>
    <row r="22" spans="1:8" s="286" customFormat="1" ht="23.25" customHeight="1" thickBot="1" x14ac:dyDescent="0.3">
      <c r="A22" s="312" t="s">
        <v>6</v>
      </c>
      <c r="B22" s="313" t="s">
        <v>660</v>
      </c>
      <c r="C22" s="314"/>
      <c r="D22" s="315"/>
      <c r="E22" s="316"/>
      <c r="F22" s="317" t="s">
        <v>184</v>
      </c>
    </row>
    <row r="23" spans="1:8" ht="57" customHeight="1" thickTop="1" thickBot="1" x14ac:dyDescent="0.25">
      <c r="A23" s="351" t="s">
        <v>42</v>
      </c>
      <c r="B23" s="816" t="s">
        <v>668</v>
      </c>
      <c r="C23" s="817"/>
      <c r="D23" s="818"/>
      <c r="E23" s="322"/>
      <c r="F23" s="352">
        <f>423132.86*('PPI Adj'!L6)</f>
        <v>437519.37724</v>
      </c>
    </row>
    <row r="24" spans="1:8" ht="57" customHeight="1" thickBot="1" x14ac:dyDescent="0.25">
      <c r="A24" s="330" t="s">
        <v>41</v>
      </c>
      <c r="B24" s="819" t="s">
        <v>163</v>
      </c>
      <c r="C24" s="820"/>
      <c r="D24" s="821"/>
      <c r="E24" s="353"/>
      <c r="F24" s="354">
        <v>20</v>
      </c>
    </row>
    <row r="25" spans="1:8" x14ac:dyDescent="0.2">
      <c r="A25" s="355"/>
      <c r="B25" s="356"/>
      <c r="C25" s="356"/>
      <c r="D25" s="356"/>
      <c r="E25" s="357"/>
    </row>
    <row r="26" spans="1:8" ht="13.5" thickBot="1" x14ac:dyDescent="0.25">
      <c r="A26" s="355"/>
      <c r="B26" s="356"/>
      <c r="C26" s="356"/>
      <c r="D26" s="356"/>
      <c r="E26" s="357"/>
    </row>
    <row r="27" spans="1:8" s="311" customFormat="1" ht="15.75" customHeight="1" thickBot="1" x14ac:dyDescent="0.25">
      <c r="A27" s="796" t="s">
        <v>164</v>
      </c>
      <c r="B27" s="797"/>
      <c r="C27" s="797"/>
      <c r="D27" s="798"/>
      <c r="E27" s="358"/>
      <c r="F27" s="310" t="s">
        <v>392</v>
      </c>
    </row>
    <row r="28" spans="1:8" s="361" customFormat="1" ht="26.25" customHeight="1" thickBot="1" x14ac:dyDescent="0.3">
      <c r="A28" s="359" t="s">
        <v>6</v>
      </c>
      <c r="B28" s="360" t="s">
        <v>7</v>
      </c>
      <c r="C28" s="822" t="s">
        <v>660</v>
      </c>
      <c r="D28" s="823"/>
      <c r="E28" s="316"/>
      <c r="F28" s="317" t="s">
        <v>184</v>
      </c>
    </row>
    <row r="29" spans="1:8" s="364" customFormat="1" ht="65.25" customHeight="1" thickBot="1" x14ac:dyDescent="0.3">
      <c r="A29" s="362" t="s">
        <v>8</v>
      </c>
      <c r="B29" s="363" t="s">
        <v>592</v>
      </c>
      <c r="C29" s="765" t="s">
        <v>118</v>
      </c>
      <c r="D29" s="755"/>
      <c r="E29" s="322"/>
      <c r="F29" s="343">
        <v>27500</v>
      </c>
    </row>
    <row r="30" spans="1:8" s="364" customFormat="1" ht="15" customHeight="1" x14ac:dyDescent="0.25">
      <c r="A30" s="365" t="s">
        <v>21</v>
      </c>
      <c r="B30" s="366" t="s">
        <v>591</v>
      </c>
      <c r="C30" s="773" t="s">
        <v>67</v>
      </c>
      <c r="D30" s="774"/>
      <c r="E30" s="322"/>
      <c r="F30" s="367">
        <v>8</v>
      </c>
    </row>
    <row r="31" spans="1:8" s="364" customFormat="1" ht="15.75" customHeight="1" thickBot="1" x14ac:dyDescent="0.3">
      <c r="A31" s="368"/>
      <c r="B31" s="369"/>
      <c r="C31" s="777" t="s">
        <v>68</v>
      </c>
      <c r="D31" s="778"/>
      <c r="E31" s="322"/>
      <c r="F31" s="343">
        <v>48</v>
      </c>
    </row>
    <row r="32" spans="1:8" s="364" customFormat="1" ht="15.75" customHeight="1" thickBot="1" x14ac:dyDescent="0.3">
      <c r="A32" s="370" t="s">
        <v>123</v>
      </c>
      <c r="B32" s="371" t="s">
        <v>108</v>
      </c>
      <c r="C32" s="783"/>
      <c r="D32" s="784"/>
      <c r="E32" s="372"/>
      <c r="F32" s="373"/>
    </row>
    <row r="33" spans="1:6" s="364" customFormat="1" ht="15" customHeight="1" x14ac:dyDescent="0.25">
      <c r="A33" s="365" t="s">
        <v>59</v>
      </c>
      <c r="B33" s="366"/>
      <c r="C33" s="773" t="s">
        <v>58</v>
      </c>
      <c r="D33" s="774"/>
      <c r="E33" s="322"/>
      <c r="F33" s="367">
        <v>199</v>
      </c>
    </row>
    <row r="34" spans="1:6" s="364" customFormat="1" ht="15" customHeight="1" x14ac:dyDescent="0.25">
      <c r="A34" s="374"/>
      <c r="B34" s="375"/>
      <c r="C34" s="775" t="s">
        <v>57</v>
      </c>
      <c r="D34" s="776"/>
      <c r="E34" s="322"/>
      <c r="F34" s="334">
        <v>359.7</v>
      </c>
    </row>
    <row r="35" spans="1:6" s="364" customFormat="1" ht="15" customHeight="1" x14ac:dyDescent="0.25">
      <c r="A35" s="374"/>
      <c r="B35" s="375"/>
      <c r="C35" s="775" t="s">
        <v>69</v>
      </c>
      <c r="D35" s="776"/>
      <c r="E35" s="322"/>
      <c r="F35" s="334">
        <v>90</v>
      </c>
    </row>
    <row r="36" spans="1:6" s="364" customFormat="1" ht="15" customHeight="1" x14ac:dyDescent="0.25">
      <c r="A36" s="374"/>
      <c r="B36" s="375"/>
      <c r="C36" s="775" t="s">
        <v>70</v>
      </c>
      <c r="D36" s="776"/>
      <c r="E36" s="322"/>
      <c r="F36" s="334">
        <v>78</v>
      </c>
    </row>
    <row r="37" spans="1:6" s="364" customFormat="1" ht="15.75" customHeight="1" thickBot="1" x14ac:dyDescent="0.3">
      <c r="A37" s="368"/>
      <c r="B37" s="369"/>
      <c r="C37" s="777" t="s">
        <v>111</v>
      </c>
      <c r="D37" s="778"/>
      <c r="E37" s="322"/>
      <c r="F37" s="343">
        <v>315</v>
      </c>
    </row>
    <row r="38" spans="1:6" s="364" customFormat="1" ht="15.75" customHeight="1" thickBot="1" x14ac:dyDescent="0.3">
      <c r="A38" s="370" t="s">
        <v>224</v>
      </c>
      <c r="B38" s="371" t="s">
        <v>223</v>
      </c>
      <c r="C38" s="376"/>
      <c r="D38" s="377"/>
      <c r="E38" s="372"/>
      <c r="F38" s="373"/>
    </row>
    <row r="39" spans="1:6" s="364" customFormat="1" ht="15" customHeight="1" x14ac:dyDescent="0.25">
      <c r="A39" s="365" t="s">
        <v>11</v>
      </c>
      <c r="B39" s="366"/>
      <c r="C39" s="773" t="s">
        <v>24</v>
      </c>
      <c r="D39" s="774"/>
      <c r="E39" s="322"/>
      <c r="F39" s="367">
        <v>10000</v>
      </c>
    </row>
    <row r="40" spans="1:6" s="364" customFormat="1" ht="15.75" customHeight="1" thickBot="1" x14ac:dyDescent="0.3">
      <c r="A40" s="368"/>
      <c r="B40" s="369"/>
      <c r="C40" s="777" t="s">
        <v>22</v>
      </c>
      <c r="D40" s="778"/>
      <c r="E40" s="322"/>
      <c r="F40" s="343">
        <v>10000</v>
      </c>
    </row>
    <row r="41" spans="1:6" s="364" customFormat="1" ht="15" customHeight="1" x14ac:dyDescent="0.25">
      <c r="A41" s="365" t="s">
        <v>16</v>
      </c>
      <c r="B41" s="366"/>
      <c r="C41" s="773" t="s">
        <v>24</v>
      </c>
      <c r="D41" s="774"/>
      <c r="E41" s="322"/>
      <c r="F41" s="367">
        <v>17500</v>
      </c>
    </row>
    <row r="42" spans="1:6" s="364" customFormat="1" ht="15.75" customHeight="1" thickBot="1" x14ac:dyDescent="0.3">
      <c r="A42" s="368"/>
      <c r="B42" s="369"/>
      <c r="C42" s="777" t="s">
        <v>23</v>
      </c>
      <c r="D42" s="778"/>
      <c r="E42" s="322"/>
      <c r="F42" s="343">
        <v>17500</v>
      </c>
    </row>
    <row r="43" spans="1:6" s="364" customFormat="1" ht="15.75" customHeight="1" thickBot="1" x14ac:dyDescent="0.3">
      <c r="A43" s="370" t="s">
        <v>52</v>
      </c>
      <c r="B43" s="371" t="s">
        <v>53</v>
      </c>
      <c r="C43" s="376"/>
      <c r="D43" s="377"/>
      <c r="E43" s="372"/>
      <c r="F43" s="373"/>
    </row>
    <row r="44" spans="1:6" s="364" customFormat="1" ht="15" customHeight="1" x14ac:dyDescent="0.25">
      <c r="A44" s="365" t="s">
        <v>219</v>
      </c>
      <c r="B44" s="366" t="s">
        <v>590</v>
      </c>
      <c r="C44" s="773" t="s">
        <v>221</v>
      </c>
      <c r="D44" s="774"/>
      <c r="E44" s="322"/>
      <c r="F44" s="378" t="s">
        <v>663</v>
      </c>
    </row>
    <row r="45" spans="1:6" s="364" customFormat="1" ht="15" customHeight="1" x14ac:dyDescent="0.25">
      <c r="A45" s="374"/>
      <c r="B45" s="375"/>
      <c r="C45" s="775" t="s">
        <v>220</v>
      </c>
      <c r="D45" s="776"/>
      <c r="E45" s="322"/>
      <c r="F45" s="378" t="s">
        <v>425</v>
      </c>
    </row>
    <row r="46" spans="1:6" s="364" customFormat="1" ht="15.75" customHeight="1" thickBot="1" x14ac:dyDescent="0.3">
      <c r="A46" s="374"/>
      <c r="B46" s="375"/>
      <c r="C46" s="777"/>
      <c r="D46" s="778"/>
      <c r="E46" s="322"/>
      <c r="F46" s="329"/>
    </row>
    <row r="47" spans="1:6" s="364" customFormat="1" ht="15.75" customHeight="1" thickBot="1" x14ac:dyDescent="0.3">
      <c r="A47" s="370" t="s">
        <v>219</v>
      </c>
      <c r="B47" s="371" t="s">
        <v>218</v>
      </c>
      <c r="C47" s="783"/>
      <c r="D47" s="784"/>
      <c r="E47" s="372"/>
      <c r="F47" s="373"/>
    </row>
    <row r="48" spans="1:6" s="364" customFormat="1" ht="30" customHeight="1" thickBot="1" x14ac:dyDescent="0.3">
      <c r="A48" s="379" t="s">
        <v>12</v>
      </c>
      <c r="B48" s="380" t="s">
        <v>142</v>
      </c>
      <c r="C48" s="773" t="s">
        <v>205</v>
      </c>
      <c r="D48" s="774"/>
      <c r="E48" s="322"/>
      <c r="F48" s="323" t="s">
        <v>413</v>
      </c>
    </row>
    <row r="49" spans="1:6" s="364" customFormat="1" ht="30" customHeight="1" thickBot="1" x14ac:dyDescent="0.3">
      <c r="A49" s="379"/>
      <c r="B49" s="380"/>
      <c r="C49" s="775" t="s">
        <v>518</v>
      </c>
      <c r="D49" s="776"/>
      <c r="E49" s="322"/>
      <c r="F49" s="381">
        <v>5840</v>
      </c>
    </row>
    <row r="50" spans="1:6" s="364" customFormat="1" ht="30" customHeight="1" thickBot="1" x14ac:dyDescent="0.3">
      <c r="A50" s="379"/>
      <c r="B50" s="380"/>
      <c r="C50" s="775" t="s">
        <v>203</v>
      </c>
      <c r="D50" s="776"/>
      <c r="E50" s="322"/>
      <c r="F50" s="323" t="s">
        <v>664</v>
      </c>
    </row>
    <row r="51" spans="1:6" s="364" customFormat="1" ht="30" customHeight="1" thickBot="1" x14ac:dyDescent="0.3">
      <c r="A51" s="379"/>
      <c r="B51" s="380"/>
      <c r="C51" s="775" t="s">
        <v>534</v>
      </c>
      <c r="D51" s="776"/>
      <c r="E51" s="322"/>
      <c r="F51" s="381">
        <v>5840</v>
      </c>
    </row>
    <row r="52" spans="1:6" s="364" customFormat="1" ht="15.75" customHeight="1" thickBot="1" x14ac:dyDescent="0.3">
      <c r="A52" s="379"/>
      <c r="B52" s="380"/>
      <c r="C52" s="775" t="s">
        <v>112</v>
      </c>
      <c r="D52" s="776"/>
      <c r="E52" s="322"/>
      <c r="F52" s="323" t="s">
        <v>446</v>
      </c>
    </row>
    <row r="53" spans="1:6" s="364" customFormat="1" ht="15.75" customHeight="1" thickBot="1" x14ac:dyDescent="0.3">
      <c r="A53" s="379"/>
      <c r="B53" s="380"/>
      <c r="C53" s="775" t="s">
        <v>113</v>
      </c>
      <c r="D53" s="776"/>
      <c r="E53" s="322"/>
      <c r="F53" s="323" t="s">
        <v>447</v>
      </c>
    </row>
    <row r="54" spans="1:6" s="364" customFormat="1" ht="15.75" customHeight="1" thickBot="1" x14ac:dyDescent="0.3">
      <c r="A54" s="379"/>
      <c r="B54" s="380"/>
      <c r="C54" s="775" t="s">
        <v>114</v>
      </c>
      <c r="D54" s="776"/>
      <c r="E54" s="322"/>
      <c r="F54" s="323" t="s">
        <v>448</v>
      </c>
    </row>
    <row r="55" spans="1:6" s="364" customFormat="1" ht="15.75" customHeight="1" thickBot="1" x14ac:dyDescent="0.3">
      <c r="A55" s="379"/>
      <c r="B55" s="380"/>
      <c r="C55" s="777" t="s">
        <v>115</v>
      </c>
      <c r="D55" s="778"/>
      <c r="E55" s="322"/>
      <c r="F55" s="323" t="s">
        <v>449</v>
      </c>
    </row>
    <row r="56" spans="1:6" s="364" customFormat="1" ht="15" customHeight="1" x14ac:dyDescent="0.25">
      <c r="A56" s="365" t="s">
        <v>10</v>
      </c>
      <c r="B56" s="366" t="s">
        <v>62</v>
      </c>
      <c r="C56" s="773" t="s">
        <v>116</v>
      </c>
      <c r="D56" s="774"/>
      <c r="E56" s="322"/>
      <c r="F56" s="367">
        <v>2</v>
      </c>
    </row>
    <row r="57" spans="1:6" s="364" customFormat="1" ht="15" customHeight="1" x14ac:dyDescent="0.25">
      <c r="A57" s="374"/>
      <c r="B57" s="375"/>
      <c r="C57" s="775" t="s">
        <v>117</v>
      </c>
      <c r="D57" s="776"/>
      <c r="E57" s="322"/>
      <c r="F57" s="334" t="s">
        <v>197</v>
      </c>
    </row>
    <row r="58" spans="1:6" s="364" customFormat="1" ht="15.75" customHeight="1" thickBot="1" x14ac:dyDescent="0.3">
      <c r="A58" s="374"/>
      <c r="B58" s="375"/>
      <c r="C58" s="777" t="s">
        <v>71</v>
      </c>
      <c r="D58" s="778"/>
      <c r="E58" s="322"/>
      <c r="F58" s="329" t="s">
        <v>582</v>
      </c>
    </row>
    <row r="59" spans="1:6" s="364" customFormat="1" ht="90" customHeight="1" thickBot="1" x14ac:dyDescent="0.3">
      <c r="A59" s="382" t="s">
        <v>185</v>
      </c>
      <c r="B59" s="383" t="s">
        <v>186</v>
      </c>
      <c r="C59" s="765" t="s">
        <v>187</v>
      </c>
      <c r="D59" s="755"/>
      <c r="E59" s="322"/>
      <c r="F59" s="367" t="s">
        <v>581</v>
      </c>
    </row>
    <row r="60" spans="1:6" s="364" customFormat="1" ht="15" customHeight="1" x14ac:dyDescent="0.25">
      <c r="A60" s="365" t="s">
        <v>26</v>
      </c>
      <c r="B60" s="366"/>
      <c r="C60" s="773" t="s">
        <v>188</v>
      </c>
      <c r="D60" s="774"/>
      <c r="E60" s="322"/>
      <c r="F60" s="367">
        <v>2</v>
      </c>
    </row>
    <row r="61" spans="1:6" s="364" customFormat="1" ht="15" customHeight="1" x14ac:dyDescent="0.25">
      <c r="A61" s="374"/>
      <c r="B61" s="375"/>
      <c r="C61" s="775" t="s">
        <v>189</v>
      </c>
      <c r="D61" s="776"/>
      <c r="E61" s="322"/>
      <c r="F61" s="334" t="s">
        <v>580</v>
      </c>
    </row>
    <row r="62" spans="1:6" s="364" customFormat="1" ht="13.5" customHeight="1" thickBot="1" x14ac:dyDescent="0.3">
      <c r="A62" s="368"/>
      <c r="B62" s="369"/>
      <c r="C62" s="777" t="s">
        <v>190</v>
      </c>
      <c r="D62" s="778"/>
      <c r="E62" s="322"/>
      <c r="F62" s="343" t="s">
        <v>373</v>
      </c>
    </row>
    <row r="63" spans="1:6" s="364" customFormat="1" ht="15.75" customHeight="1" thickBot="1" x14ac:dyDescent="0.3">
      <c r="A63" s="370" t="s">
        <v>44</v>
      </c>
      <c r="B63" s="371" t="s">
        <v>579</v>
      </c>
      <c r="C63" s="794"/>
      <c r="D63" s="795"/>
      <c r="E63" s="372"/>
      <c r="F63" s="384"/>
    </row>
    <row r="64" spans="1:6" s="364" customFormat="1" ht="31.5" customHeight="1" thickBot="1" x14ac:dyDescent="0.3">
      <c r="A64" s="370" t="s">
        <v>44</v>
      </c>
      <c r="B64" s="371" t="s">
        <v>63</v>
      </c>
      <c r="C64" s="794"/>
      <c r="D64" s="795"/>
      <c r="E64" s="372"/>
      <c r="F64" s="384"/>
    </row>
    <row r="65" spans="1:7" s="364" customFormat="1" ht="26.25" thickBot="1" x14ac:dyDescent="0.3">
      <c r="A65" s="370" t="s">
        <v>44</v>
      </c>
      <c r="B65" s="371" t="s">
        <v>64</v>
      </c>
      <c r="C65" s="794"/>
      <c r="D65" s="795"/>
      <c r="E65" s="372"/>
      <c r="F65" s="384"/>
    </row>
    <row r="66" spans="1:7" s="364" customFormat="1" ht="26.25" thickBot="1" x14ac:dyDescent="0.3">
      <c r="A66" s="370" t="s">
        <v>50</v>
      </c>
      <c r="B66" s="371" t="s">
        <v>216</v>
      </c>
      <c r="C66" s="794"/>
      <c r="D66" s="795"/>
      <c r="E66" s="372"/>
      <c r="F66" s="384"/>
    </row>
    <row r="67" spans="1:7" s="364" customFormat="1" ht="15.75" customHeight="1" thickBot="1" x14ac:dyDescent="0.3">
      <c r="A67" s="370" t="s">
        <v>27</v>
      </c>
      <c r="B67" s="371" t="s">
        <v>215</v>
      </c>
      <c r="C67" s="765" t="s">
        <v>77</v>
      </c>
      <c r="D67" s="755"/>
      <c r="E67" s="322"/>
      <c r="F67" s="373" t="s">
        <v>452</v>
      </c>
    </row>
    <row r="68" spans="1:7" s="364" customFormat="1" ht="51.75" thickBot="1" x14ac:dyDescent="0.3">
      <c r="A68" s="370" t="s">
        <v>214</v>
      </c>
      <c r="B68" s="371" t="s">
        <v>213</v>
      </c>
      <c r="C68" s="794"/>
      <c r="D68" s="795"/>
      <c r="E68" s="372"/>
      <c r="F68" s="384"/>
    </row>
    <row r="69" spans="1:7" s="364" customFormat="1" ht="39" thickBot="1" x14ac:dyDescent="0.3">
      <c r="A69" s="370" t="s">
        <v>51</v>
      </c>
      <c r="B69" s="371" t="s">
        <v>212</v>
      </c>
      <c r="C69" s="794"/>
      <c r="D69" s="795"/>
      <c r="E69" s="372"/>
      <c r="F69" s="373"/>
    </row>
    <row r="70" spans="1:7" s="364" customFormat="1" ht="42" customHeight="1" thickBot="1" x14ac:dyDescent="0.3">
      <c r="A70" s="370" t="s">
        <v>54</v>
      </c>
      <c r="B70" s="371" t="s">
        <v>80</v>
      </c>
      <c r="C70" s="794"/>
      <c r="D70" s="795"/>
      <c r="E70" s="372"/>
      <c r="F70" s="373"/>
    </row>
    <row r="71" spans="1:7" s="364" customFormat="1" ht="42" customHeight="1" thickBot="1" x14ac:dyDescent="0.3">
      <c r="A71" s="370" t="s">
        <v>29</v>
      </c>
      <c r="B71" s="371" t="s">
        <v>578</v>
      </c>
      <c r="C71" s="794"/>
      <c r="D71" s="795"/>
      <c r="E71" s="372"/>
      <c r="F71" s="373"/>
    </row>
    <row r="72" spans="1:7" s="364" customFormat="1" ht="51.75" thickBot="1" x14ac:dyDescent="0.3">
      <c r="A72" s="370" t="s">
        <v>31</v>
      </c>
      <c r="B72" s="371" t="s">
        <v>210</v>
      </c>
      <c r="C72" s="765" t="s">
        <v>30</v>
      </c>
      <c r="D72" s="755"/>
      <c r="E72" s="322"/>
      <c r="F72" s="373" t="s">
        <v>408</v>
      </c>
    </row>
    <row r="73" spans="1:7" s="364" customFormat="1" ht="26.25" thickBot="1" x14ac:dyDescent="0.3">
      <c r="A73" s="370" t="s">
        <v>55</v>
      </c>
      <c r="B73" s="371" t="s">
        <v>95</v>
      </c>
      <c r="C73" s="794"/>
      <c r="D73" s="795"/>
      <c r="E73" s="372"/>
      <c r="F73" s="373" t="s">
        <v>453</v>
      </c>
    </row>
    <row r="74" spans="1:7" s="364" customFormat="1" ht="39" customHeight="1" thickBot="1" x14ac:dyDescent="0.3">
      <c r="A74" s="370" t="s">
        <v>32</v>
      </c>
      <c r="B74" s="371" t="s">
        <v>96</v>
      </c>
      <c r="C74" s="765" t="s">
        <v>30</v>
      </c>
      <c r="D74" s="755"/>
      <c r="E74" s="322"/>
      <c r="F74" s="373" t="s">
        <v>409</v>
      </c>
    </row>
    <row r="75" spans="1:7" s="364" customFormat="1" ht="39" thickBot="1" x14ac:dyDescent="0.3">
      <c r="A75" s="370" t="s">
        <v>56</v>
      </c>
      <c r="B75" s="371" t="s">
        <v>528</v>
      </c>
      <c r="C75" s="794"/>
      <c r="D75" s="795"/>
      <c r="E75" s="372"/>
      <c r="F75" s="373"/>
    </row>
    <row r="76" spans="1:7" s="364" customFormat="1" ht="27.6" customHeight="1" thickBot="1" x14ac:dyDescent="0.3">
      <c r="A76" s="370" t="s">
        <v>48</v>
      </c>
      <c r="B76" s="371" t="s">
        <v>527</v>
      </c>
      <c r="C76" s="794"/>
      <c r="D76" s="795"/>
      <c r="E76" s="372"/>
      <c r="F76" s="373"/>
    </row>
    <row r="77" spans="1:7" s="364" customFormat="1" ht="40.9" customHeight="1" thickBot="1" x14ac:dyDescent="0.3">
      <c r="A77" s="370" t="s">
        <v>49</v>
      </c>
      <c r="B77" s="371" t="s">
        <v>103</v>
      </c>
      <c r="C77" s="794" t="s">
        <v>526</v>
      </c>
      <c r="D77" s="795"/>
      <c r="E77" s="372"/>
      <c r="F77" s="373" t="s">
        <v>577</v>
      </c>
    </row>
    <row r="78" spans="1:7" s="364" customFormat="1" ht="26.25" thickBot="1" x14ac:dyDescent="0.3">
      <c r="A78" s="370" t="s">
        <v>46</v>
      </c>
      <c r="B78" s="371" t="s">
        <v>81</v>
      </c>
      <c r="C78" s="794"/>
      <c r="D78" s="795"/>
      <c r="E78" s="372"/>
      <c r="F78" s="373"/>
    </row>
    <row r="79" spans="1:7" ht="13.5" thickBot="1" x14ac:dyDescent="0.25"/>
    <row r="80" spans="1:7" s="386" customFormat="1" ht="18" customHeight="1" thickBot="1" x14ac:dyDescent="0.3">
      <c r="A80" s="796" t="s">
        <v>627</v>
      </c>
      <c r="B80" s="797"/>
      <c r="C80" s="797"/>
      <c r="D80" s="798"/>
      <c r="E80" s="358"/>
      <c r="F80" s="573" t="s">
        <v>392</v>
      </c>
      <c r="G80" s="574"/>
    </row>
    <row r="81" spans="1:7" s="361" customFormat="1" ht="25.5" customHeight="1" x14ac:dyDescent="0.25">
      <c r="A81" s="387" t="s">
        <v>33</v>
      </c>
      <c r="B81" s="388" t="s">
        <v>7</v>
      </c>
      <c r="C81" s="790" t="s">
        <v>165</v>
      </c>
      <c r="D81" s="791"/>
      <c r="E81" s="316"/>
      <c r="F81" s="389" t="s">
        <v>184</v>
      </c>
      <c r="G81" s="390" t="s">
        <v>509</v>
      </c>
    </row>
    <row r="82" spans="1:7" s="364" customFormat="1" ht="41.25" customHeight="1" thickBot="1" x14ac:dyDescent="0.3">
      <c r="A82" s="391" t="s">
        <v>83</v>
      </c>
      <c r="B82" s="392" t="s">
        <v>146</v>
      </c>
      <c r="C82" s="792"/>
      <c r="D82" s="793"/>
      <c r="E82" s="372"/>
      <c r="F82" s="393"/>
      <c r="G82" s="394">
        <f>-1117.06*('PPI Adj'!L6)</f>
        <v>-1155.0400400000001</v>
      </c>
    </row>
    <row r="83" spans="1:7" s="364" customFormat="1" ht="39" customHeight="1" thickBot="1" x14ac:dyDescent="0.3">
      <c r="A83" s="370" t="s">
        <v>34</v>
      </c>
      <c r="B83" s="371" t="s">
        <v>522</v>
      </c>
      <c r="C83" s="779" t="s">
        <v>30</v>
      </c>
      <c r="D83" s="780"/>
      <c r="E83" s="322"/>
      <c r="F83" s="395" t="s">
        <v>576</v>
      </c>
      <c r="G83" s="396">
        <f>1047.38*('PPI Adj'!L6)</f>
        <v>1082.9909200000002</v>
      </c>
    </row>
    <row r="84" spans="1:7" s="364" customFormat="1" ht="41.25" customHeight="1" thickBot="1" x14ac:dyDescent="0.3">
      <c r="A84" s="370" t="s">
        <v>35</v>
      </c>
      <c r="B84" s="371" t="s">
        <v>97</v>
      </c>
      <c r="C84" s="783"/>
      <c r="D84" s="784"/>
      <c r="E84" s="372"/>
      <c r="F84" s="395"/>
      <c r="G84" s="396">
        <f>499.91*('PPI Adj'!L6)</f>
        <v>516.90694000000008</v>
      </c>
    </row>
    <row r="85" spans="1:7" s="364" customFormat="1" ht="51.75" thickBot="1" x14ac:dyDescent="0.3">
      <c r="A85" s="370" t="s">
        <v>36</v>
      </c>
      <c r="B85" s="371" t="s">
        <v>521</v>
      </c>
      <c r="C85" s="779" t="s">
        <v>99</v>
      </c>
      <c r="D85" s="780"/>
      <c r="E85" s="322"/>
      <c r="F85" s="395" t="s">
        <v>575</v>
      </c>
      <c r="G85" s="396">
        <f>528.23*('PPI Adj'!L6)</f>
        <v>546.18982000000005</v>
      </c>
    </row>
    <row r="86" spans="1:7" s="364" customFormat="1" ht="30.75" customHeight="1" x14ac:dyDescent="0.25">
      <c r="A86" s="365" t="s">
        <v>60</v>
      </c>
      <c r="B86" s="770" t="s">
        <v>520</v>
      </c>
      <c r="C86" s="787" t="s">
        <v>203</v>
      </c>
      <c r="D86" s="774"/>
      <c r="E86" s="322"/>
      <c r="F86" s="397" t="s">
        <v>413</v>
      </c>
      <c r="G86" s="398">
        <f>95.12*('PPI Adj'!L6)</f>
        <v>98.35408000000001</v>
      </c>
    </row>
    <row r="87" spans="1:7" s="364" customFormat="1" ht="29.25" customHeight="1" x14ac:dyDescent="0.25">
      <c r="A87" s="374"/>
      <c r="B87" s="771"/>
      <c r="C87" s="788" t="s">
        <v>517</v>
      </c>
      <c r="D87" s="776"/>
      <c r="E87" s="322"/>
      <c r="F87" s="399">
        <v>6005</v>
      </c>
      <c r="G87" s="400"/>
    </row>
    <row r="88" spans="1:7" s="364" customFormat="1" ht="15" customHeight="1" x14ac:dyDescent="0.25">
      <c r="A88" s="374"/>
      <c r="B88" s="771"/>
      <c r="C88" s="788" t="s">
        <v>114</v>
      </c>
      <c r="D88" s="776"/>
      <c r="E88" s="322"/>
      <c r="F88" s="399" t="s">
        <v>455</v>
      </c>
      <c r="G88" s="400"/>
    </row>
    <row r="89" spans="1:7" s="364" customFormat="1" ht="15.75" customHeight="1" thickBot="1" x14ac:dyDescent="0.3">
      <c r="A89" s="368"/>
      <c r="B89" s="772"/>
      <c r="C89" s="789" t="s">
        <v>115</v>
      </c>
      <c r="D89" s="778"/>
      <c r="E89" s="322"/>
      <c r="F89" s="393" t="s">
        <v>456</v>
      </c>
      <c r="G89" s="401"/>
    </row>
    <row r="90" spans="1:7" s="364" customFormat="1" ht="30.75" customHeight="1" x14ac:dyDescent="0.25">
      <c r="A90" s="365" t="s">
        <v>61</v>
      </c>
      <c r="B90" s="770" t="s">
        <v>519</v>
      </c>
      <c r="C90" s="773" t="s">
        <v>205</v>
      </c>
      <c r="D90" s="774"/>
      <c r="E90" s="322"/>
      <c r="F90" s="397" t="s">
        <v>413</v>
      </c>
      <c r="G90" s="398">
        <f>1569.41*('PPI Adj'!L6)</f>
        <v>1622.7699400000001</v>
      </c>
    </row>
    <row r="91" spans="1:7" s="364" customFormat="1" ht="29.25" customHeight="1" x14ac:dyDescent="0.25">
      <c r="A91" s="374"/>
      <c r="B91" s="771"/>
      <c r="C91" s="775" t="s">
        <v>518</v>
      </c>
      <c r="D91" s="776"/>
      <c r="E91" s="322"/>
      <c r="F91" s="402">
        <v>6610</v>
      </c>
      <c r="G91" s="400"/>
    </row>
    <row r="92" spans="1:7" s="364" customFormat="1" ht="29.25" customHeight="1" x14ac:dyDescent="0.25">
      <c r="A92" s="374"/>
      <c r="B92" s="771"/>
      <c r="C92" s="775" t="s">
        <v>203</v>
      </c>
      <c r="D92" s="776"/>
      <c r="E92" s="322"/>
      <c r="F92" s="402" t="s">
        <v>413</v>
      </c>
      <c r="G92" s="400"/>
    </row>
    <row r="93" spans="1:7" s="364" customFormat="1" ht="29.25" customHeight="1" x14ac:dyDescent="0.25">
      <c r="A93" s="374"/>
      <c r="B93" s="771"/>
      <c r="C93" s="775" t="s">
        <v>517</v>
      </c>
      <c r="D93" s="776"/>
      <c r="E93" s="322"/>
      <c r="F93" s="399">
        <v>6005</v>
      </c>
      <c r="G93" s="400"/>
    </row>
    <row r="94" spans="1:7" s="364" customFormat="1" ht="15" customHeight="1" x14ac:dyDescent="0.25">
      <c r="A94" s="374"/>
      <c r="B94" s="771"/>
      <c r="C94" s="775" t="s">
        <v>112</v>
      </c>
      <c r="D94" s="776"/>
      <c r="E94" s="322"/>
      <c r="F94" s="399" t="s">
        <v>414</v>
      </c>
      <c r="G94" s="400"/>
    </row>
    <row r="95" spans="1:7" s="364" customFormat="1" ht="15" customHeight="1" x14ac:dyDescent="0.25">
      <c r="A95" s="374"/>
      <c r="B95" s="771"/>
      <c r="C95" s="775" t="s">
        <v>113</v>
      </c>
      <c r="D95" s="776"/>
      <c r="E95" s="322"/>
      <c r="F95" s="402" t="s">
        <v>415</v>
      </c>
      <c r="G95" s="400"/>
    </row>
    <row r="96" spans="1:7" s="364" customFormat="1" ht="15" customHeight="1" x14ac:dyDescent="0.25">
      <c r="A96" s="374"/>
      <c r="B96" s="771"/>
      <c r="C96" s="775" t="s">
        <v>114</v>
      </c>
      <c r="D96" s="776"/>
      <c r="E96" s="322"/>
      <c r="F96" s="402" t="s">
        <v>574</v>
      </c>
      <c r="G96" s="400"/>
    </row>
    <row r="97" spans="1:7" s="364" customFormat="1" ht="15.75" customHeight="1" thickBot="1" x14ac:dyDescent="0.3">
      <c r="A97" s="368"/>
      <c r="B97" s="772"/>
      <c r="C97" s="777" t="s">
        <v>115</v>
      </c>
      <c r="D97" s="778"/>
      <c r="E97" s="322"/>
      <c r="F97" s="393" t="s">
        <v>415</v>
      </c>
      <c r="G97" s="401"/>
    </row>
    <row r="98" spans="1:7" s="364" customFormat="1" ht="131.25" customHeight="1" thickBot="1" x14ac:dyDescent="0.3">
      <c r="A98" s="379" t="s">
        <v>86</v>
      </c>
      <c r="B98" s="380" t="s">
        <v>143</v>
      </c>
      <c r="C98" s="779" t="s">
        <v>104</v>
      </c>
      <c r="D98" s="780"/>
      <c r="E98" s="322"/>
      <c r="F98" s="397" t="s">
        <v>417</v>
      </c>
      <c r="G98" s="396">
        <f>7713.24*('PPI Adj'!L6)</f>
        <v>7975.4901600000003</v>
      </c>
    </row>
    <row r="99" spans="1:7" ht="16.5" customHeight="1" x14ac:dyDescent="0.2">
      <c r="A99" s="365" t="s">
        <v>13</v>
      </c>
      <c r="B99" s="770" t="s">
        <v>98</v>
      </c>
      <c r="C99" s="773" t="s">
        <v>30</v>
      </c>
      <c r="D99" s="774"/>
      <c r="E99" s="322"/>
      <c r="F99" s="397" t="s">
        <v>573</v>
      </c>
      <c r="G99" s="398">
        <f>11945.91*('PPI Adj'!L6)</f>
        <v>12352.07094</v>
      </c>
    </row>
    <row r="100" spans="1:7" ht="37.5" customHeight="1" thickBot="1" x14ac:dyDescent="0.25">
      <c r="A100" s="368"/>
      <c r="B100" s="772"/>
      <c r="C100" s="777" t="s">
        <v>109</v>
      </c>
      <c r="D100" s="778"/>
      <c r="E100" s="322"/>
      <c r="F100" s="393" t="s">
        <v>359</v>
      </c>
      <c r="G100" s="401"/>
    </row>
    <row r="101" spans="1:7" ht="51.75" thickBot="1" x14ac:dyDescent="0.25">
      <c r="A101" s="370" t="s">
        <v>37</v>
      </c>
      <c r="B101" s="371" t="s">
        <v>572</v>
      </c>
      <c r="C101" s="781" t="s">
        <v>30</v>
      </c>
      <c r="D101" s="782"/>
      <c r="E101" s="372"/>
      <c r="F101" s="393" t="s">
        <v>375</v>
      </c>
      <c r="G101" s="394">
        <f>658.07*('PPI Adj'!L6)</f>
        <v>680.44438000000002</v>
      </c>
    </row>
    <row r="102" spans="1:7" ht="26.25" thickBot="1" x14ac:dyDescent="0.25">
      <c r="A102" s="370" t="s">
        <v>38</v>
      </c>
      <c r="B102" s="371" t="s">
        <v>87</v>
      </c>
      <c r="C102" s="783"/>
      <c r="D102" s="784"/>
      <c r="E102" s="372"/>
      <c r="F102" s="395"/>
      <c r="G102" s="396">
        <f>644.8*('PPI Adj'!L6)</f>
        <v>666.72320000000002</v>
      </c>
    </row>
    <row r="103" spans="1:7" ht="13.5" thickBot="1" x14ac:dyDescent="0.25">
      <c r="A103" s="370" t="s">
        <v>201</v>
      </c>
      <c r="B103" s="371" t="s">
        <v>200</v>
      </c>
      <c r="C103" s="781"/>
      <c r="D103" s="782"/>
      <c r="E103" s="372"/>
      <c r="F103" s="395" t="s">
        <v>183</v>
      </c>
      <c r="G103" s="396">
        <v>0</v>
      </c>
    </row>
    <row r="104" spans="1:7" ht="26.25" thickBot="1" x14ac:dyDescent="0.25">
      <c r="A104" s="370" t="s">
        <v>39</v>
      </c>
      <c r="B104" s="371" t="s">
        <v>106</v>
      </c>
      <c r="C104" s="785" t="s">
        <v>105</v>
      </c>
      <c r="D104" s="786"/>
      <c r="E104" s="322"/>
      <c r="F104" s="395" t="s">
        <v>323</v>
      </c>
      <c r="G104" s="396">
        <f>522.03*('PPI Adj'!L6)</f>
        <v>539.77901999999995</v>
      </c>
    </row>
    <row r="105" spans="1:7" ht="43.5" customHeight="1" thickBot="1" x14ac:dyDescent="0.25">
      <c r="A105" s="370" t="s">
        <v>40</v>
      </c>
      <c r="B105" s="371" t="s">
        <v>137</v>
      </c>
      <c r="C105" s="765" t="s">
        <v>100</v>
      </c>
      <c r="D105" s="755"/>
      <c r="E105" s="322"/>
      <c r="F105" s="393" t="s">
        <v>376</v>
      </c>
      <c r="G105" s="396">
        <f>363.87*('PPI Adj'!L6)</f>
        <v>376.24158</v>
      </c>
    </row>
    <row r="106" spans="1:7" ht="39" customHeight="1" x14ac:dyDescent="0.2">
      <c r="A106" s="365" t="s">
        <v>14</v>
      </c>
      <c r="B106" s="366" t="s">
        <v>138</v>
      </c>
      <c r="C106" s="766" t="s">
        <v>139</v>
      </c>
      <c r="D106" s="767"/>
      <c r="E106" s="322"/>
      <c r="F106" s="397">
        <v>2</v>
      </c>
      <c r="G106" s="398">
        <f>42168.46*('PPI Adj'!L6)</f>
        <v>43602.187640000004</v>
      </c>
    </row>
    <row r="107" spans="1:7" ht="55.9" customHeight="1" thickBot="1" x14ac:dyDescent="0.25">
      <c r="A107" s="368"/>
      <c r="B107" s="369"/>
      <c r="C107" s="768" t="s">
        <v>274</v>
      </c>
      <c r="D107" s="769"/>
      <c r="E107" s="322"/>
      <c r="F107" s="393" t="s">
        <v>275</v>
      </c>
      <c r="G107" s="401"/>
    </row>
    <row r="108" spans="1:7" ht="65.25" customHeight="1" thickBot="1" x14ac:dyDescent="0.25">
      <c r="A108" s="370" t="s">
        <v>91</v>
      </c>
      <c r="B108" s="371" t="s">
        <v>144</v>
      </c>
      <c r="C108" s="765" t="s">
        <v>100</v>
      </c>
      <c r="D108" s="755"/>
      <c r="E108" s="322"/>
      <c r="F108" s="395" t="s">
        <v>361</v>
      </c>
      <c r="G108" s="396">
        <f>2179.93*('PPI Adj'!L6)</f>
        <v>2254.0476199999998</v>
      </c>
    </row>
    <row r="109" spans="1:7" ht="52.5" customHeight="1" thickBot="1" x14ac:dyDescent="0.25">
      <c r="A109" s="370" t="s">
        <v>92</v>
      </c>
      <c r="B109" s="371" t="s">
        <v>145</v>
      </c>
      <c r="C109" s="756"/>
      <c r="D109" s="757"/>
      <c r="E109" s="372"/>
      <c r="F109" s="395"/>
      <c r="G109" s="396">
        <f>-2237.44*('PPI Adj'!L6)</f>
        <v>-2313.51296</v>
      </c>
    </row>
    <row r="110" spans="1:7" ht="13.5" thickBot="1" x14ac:dyDescent="0.25"/>
    <row r="111" spans="1:7" s="386" customFormat="1" ht="18.75" customHeight="1" thickBot="1" x14ac:dyDescent="0.3">
      <c r="A111" s="306" t="s">
        <v>661</v>
      </c>
      <c r="B111" s="403"/>
      <c r="C111" s="403"/>
      <c r="D111" s="404"/>
      <c r="E111" s="405"/>
      <c r="F111" s="758" t="s">
        <v>392</v>
      </c>
      <c r="G111" s="759"/>
    </row>
    <row r="112" spans="1:7" s="386" customFormat="1" ht="20.25" customHeight="1" thickBot="1" x14ac:dyDescent="0.3">
      <c r="A112" s="762" t="s">
        <v>630</v>
      </c>
      <c r="B112" s="763"/>
      <c r="C112" s="763"/>
      <c r="D112" s="764"/>
      <c r="E112" s="309"/>
      <c r="F112" s="578" t="s">
        <v>184</v>
      </c>
      <c r="G112" s="580" t="s">
        <v>659</v>
      </c>
    </row>
    <row r="113" spans="1:7" ht="26.25" customHeight="1" thickBot="1" x14ac:dyDescent="0.25">
      <c r="A113" s="406" t="s">
        <v>33</v>
      </c>
      <c r="B113" s="406" t="s">
        <v>7</v>
      </c>
      <c r="C113" s="760" t="s">
        <v>660</v>
      </c>
      <c r="D113" s="761"/>
      <c r="E113" s="407"/>
      <c r="F113" s="579"/>
      <c r="G113" s="581"/>
    </row>
    <row r="114" spans="1:7" ht="147.75" customHeight="1" thickBot="1" x14ac:dyDescent="0.25">
      <c r="A114" s="363" t="s">
        <v>85</v>
      </c>
      <c r="B114" s="408" t="s">
        <v>170</v>
      </c>
      <c r="C114" s="754" t="s">
        <v>104</v>
      </c>
      <c r="D114" s="755"/>
      <c r="E114" s="364"/>
      <c r="F114" s="395" t="s">
        <v>418</v>
      </c>
      <c r="G114" s="394">
        <f>7580.74*('PPI Adj'!L6)</f>
        <v>7838.4851600000002</v>
      </c>
    </row>
    <row r="115" spans="1:7" ht="39" thickBot="1" x14ac:dyDescent="0.25">
      <c r="A115" s="371" t="s">
        <v>272</v>
      </c>
      <c r="B115" s="409" t="s">
        <v>506</v>
      </c>
      <c r="C115" s="754"/>
      <c r="D115" s="755"/>
      <c r="E115" s="410"/>
      <c r="F115" s="395"/>
      <c r="G115" s="396"/>
    </row>
  </sheetData>
  <sheetProtection algorithmName="SHA-512" hashValue="RLV5pFH1E59dtv+rFCkBZsgDb6VWuDaJ8d4zE/x7cSpmAuWcBwHwoRi6c3ZIiFuLzfGUFou+jYZsM5zQB529Mg==" saltValue="CK53tHqX/RbV21GJnxLFKQ==" spinCount="100000" sheet="1" objects="1" scenarios="1"/>
  <dataConsolidate/>
  <mergeCells count="101">
    <mergeCell ref="B17:D17"/>
    <mergeCell ref="A5:E5"/>
    <mergeCell ref="B9:D9"/>
    <mergeCell ref="B13:D13"/>
    <mergeCell ref="A3:D3"/>
    <mergeCell ref="A4:D4"/>
    <mergeCell ref="C34:D34"/>
    <mergeCell ref="B18:D18"/>
    <mergeCell ref="B19:D19"/>
    <mergeCell ref="B23:D23"/>
    <mergeCell ref="B24:D24"/>
    <mergeCell ref="A27:D27"/>
    <mergeCell ref="C28:D28"/>
    <mergeCell ref="C29:D29"/>
    <mergeCell ref="C30:D30"/>
    <mergeCell ref="C31:D31"/>
    <mergeCell ref="C32:D32"/>
    <mergeCell ref="C33:D33"/>
    <mergeCell ref="C48:D48"/>
    <mergeCell ref="C35:D35"/>
    <mergeCell ref="C36:D36"/>
    <mergeCell ref="C37:D37"/>
    <mergeCell ref="C39:D39"/>
    <mergeCell ref="C40:D40"/>
    <mergeCell ref="C41:D41"/>
    <mergeCell ref="C42:D42"/>
    <mergeCell ref="C44:D44"/>
    <mergeCell ref="C45:D45"/>
    <mergeCell ref="C46:D46"/>
    <mergeCell ref="C47:D47"/>
    <mergeCell ref="C60:D60"/>
    <mergeCell ref="C49:D49"/>
    <mergeCell ref="C50:D50"/>
    <mergeCell ref="C51:D51"/>
    <mergeCell ref="C52:D52"/>
    <mergeCell ref="C53:D53"/>
    <mergeCell ref="C54:D54"/>
    <mergeCell ref="C55:D55"/>
    <mergeCell ref="C56:D56"/>
    <mergeCell ref="C57:D57"/>
    <mergeCell ref="C58:D58"/>
    <mergeCell ref="C59:D59"/>
    <mergeCell ref="C73:D73"/>
    <mergeCell ref="C74:D74"/>
    <mergeCell ref="C75:D75"/>
    <mergeCell ref="C76:D76"/>
    <mergeCell ref="C77:D77"/>
    <mergeCell ref="C78:D78"/>
    <mergeCell ref="A80:D80"/>
    <mergeCell ref="C72:D72"/>
    <mergeCell ref="C61:D61"/>
    <mergeCell ref="C62:D62"/>
    <mergeCell ref="C63:D63"/>
    <mergeCell ref="C64:D64"/>
    <mergeCell ref="C65:D65"/>
    <mergeCell ref="C66:D66"/>
    <mergeCell ref="C67:D67"/>
    <mergeCell ref="C68:D68"/>
    <mergeCell ref="C69:D69"/>
    <mergeCell ref="C70:D70"/>
    <mergeCell ref="C71:D71"/>
    <mergeCell ref="B86:B89"/>
    <mergeCell ref="C86:D86"/>
    <mergeCell ref="C87:D87"/>
    <mergeCell ref="C88:D88"/>
    <mergeCell ref="C89:D89"/>
    <mergeCell ref="F80:G80"/>
    <mergeCell ref="C81:D81"/>
    <mergeCell ref="C82:D82"/>
    <mergeCell ref="C83:D83"/>
    <mergeCell ref="C85:D85"/>
    <mergeCell ref="C84:D84"/>
    <mergeCell ref="C106:D106"/>
    <mergeCell ref="C107:D107"/>
    <mergeCell ref="B90:B97"/>
    <mergeCell ref="C90:D90"/>
    <mergeCell ref="C91:D91"/>
    <mergeCell ref="C92:D92"/>
    <mergeCell ref="C93:D93"/>
    <mergeCell ref="C94:D94"/>
    <mergeCell ref="C95:D95"/>
    <mergeCell ref="C96:D96"/>
    <mergeCell ref="C97:D97"/>
    <mergeCell ref="C98:D98"/>
    <mergeCell ref="B99:B100"/>
    <mergeCell ref="C99:D99"/>
    <mergeCell ref="C100:D100"/>
    <mergeCell ref="C101:D101"/>
    <mergeCell ref="C102:D102"/>
    <mergeCell ref="C103:D103"/>
    <mergeCell ref="C104:D104"/>
    <mergeCell ref="C105:D105"/>
    <mergeCell ref="C115:D115"/>
    <mergeCell ref="C109:D109"/>
    <mergeCell ref="F111:G111"/>
    <mergeCell ref="F112:F113"/>
    <mergeCell ref="G112:G113"/>
    <mergeCell ref="C113:D113"/>
    <mergeCell ref="C114:D114"/>
    <mergeCell ref="A112:D112"/>
    <mergeCell ref="C108:D108"/>
  </mergeCells>
  <conditionalFormatting sqref="C29:C37 E29:F37 C38:F38 C39:C42 E39:F42 C43:F43 E44:F76 C44:C78 E78:F78 E82:G106 C82:C109 F107 E108:G109 C114:C115 E114:G115">
    <cfRule type="expression" dxfId="115" priority="3">
      <formula>#REF!="NO"</formula>
    </cfRule>
  </conditionalFormatting>
  <conditionalFormatting sqref="F8:F19">
    <cfRule type="expression" dxfId="114" priority="6">
      <formula>#REF!="NO"</formula>
    </cfRule>
  </conditionalFormatting>
  <conditionalFormatting sqref="F23:F24">
    <cfRule type="expression" dxfId="113" priority="1">
      <formula>#REF!="NO"</formula>
    </cfRule>
  </conditionalFormatting>
  <conditionalFormatting sqref="F59">
    <cfRule type="expression" dxfId="112" priority="7">
      <formula>#REF!="NO"</formula>
    </cfRule>
  </conditionalFormatting>
  <conditionalFormatting sqref="F65:F78">
    <cfRule type="expression" dxfId="111" priority="4">
      <formula>#REF!="NO"</formula>
    </cfRule>
  </conditionalFormatting>
  <dataValidations count="3">
    <dataValidation type="decimal" operator="greaterThanOrEqual" allowBlank="1" showInputMessage="1" showErrorMessage="1" error="The Pickup Allowance cannot be a negative number." sqref="F18" xr:uid="{31C44359-5F7D-4347-ABE2-AA5E0827F6E0}">
      <formula1>0</formula1>
    </dataValidation>
    <dataValidation type="decimal" allowBlank="1" showInputMessage="1" showErrorMessage="1" error="Invalid Entry - Bidder must enter a value that is greater than $0" sqref="F23" xr:uid="{5C41154E-F159-4A3D-8D71-579F67BBC11F}">
      <formula1>0</formula1>
      <formula2>9E+21</formula2>
    </dataValidation>
    <dataValidation type="decimal" allowBlank="1" showInputMessage="1" showErrorMessage="1" error="The Additional Options NYS Discount entered must be greater than 0%, or less than or equal to 100%." sqref="F24" xr:uid="{A1190CDC-221C-4720-9016-38AB7A790BF8}">
      <formula1>0.01</formula1>
      <formula2>100</formula2>
    </dataValidation>
  </dataValidations>
  <pageMargins left="0.25" right="0.25" top="0.75" bottom="0.25" header="0.3" footer="0.3"/>
  <pageSetup scale="5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tabColor theme="5"/>
    <pageSetUpPr autoPageBreaks="0" fitToPage="1"/>
  </sheetPr>
  <dimension ref="A1:G135"/>
  <sheetViews>
    <sheetView showGridLines="0" zoomScaleNormal="100" zoomScaleSheetLayoutView="85" workbookViewId="0">
      <selection activeCell="F21" sqref="F21:G21"/>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385" bestFit="1" customWidth="1"/>
    <col min="7" max="7" width="21.5703125" style="301" bestFit="1"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302"/>
    </row>
    <row r="3" spans="1:7" ht="24" thickBot="1" x14ac:dyDescent="0.25">
      <c r="A3" s="824" t="s">
        <v>267</v>
      </c>
      <c r="B3" s="825"/>
      <c r="C3" s="825"/>
      <c r="D3" s="826"/>
      <c r="E3" s="8"/>
      <c r="F3" s="304"/>
    </row>
    <row r="4" spans="1:7" ht="51" customHeight="1" thickBot="1" x14ac:dyDescent="0.25">
      <c r="A4" s="506" t="s">
        <v>266</v>
      </c>
      <c r="B4" s="507"/>
      <c r="C4" s="507"/>
      <c r="D4" s="508"/>
      <c r="E4" s="8"/>
      <c r="F4" s="304"/>
    </row>
    <row r="5" spans="1:7" s="4" customFormat="1" ht="11.25" customHeight="1" thickBot="1" x14ac:dyDescent="0.3">
      <c r="A5" s="411"/>
      <c r="B5" s="411"/>
      <c r="C5" s="411"/>
      <c r="D5" s="411"/>
      <c r="E5" s="411"/>
      <c r="F5" s="413"/>
      <c r="G5" s="286"/>
    </row>
    <row r="6" spans="1:7" s="7" customFormat="1" ht="16.5" thickBot="1" x14ac:dyDescent="0.25">
      <c r="A6" s="509" t="s">
        <v>151</v>
      </c>
      <c r="B6" s="510"/>
      <c r="C6" s="510"/>
      <c r="D6" s="511"/>
      <c r="E6" s="31"/>
      <c r="F6" s="573" t="s">
        <v>389</v>
      </c>
      <c r="G6" s="574"/>
    </row>
    <row r="7" spans="1:7" s="4" customFormat="1" ht="15" customHeight="1" thickBot="1" x14ac:dyDescent="0.3">
      <c r="A7" s="37" t="s">
        <v>6</v>
      </c>
      <c r="B7" s="22" t="s">
        <v>165</v>
      </c>
      <c r="C7" s="27"/>
      <c r="D7" s="35"/>
      <c r="E7" s="32"/>
      <c r="F7" s="415" t="s">
        <v>19</v>
      </c>
      <c r="G7" s="415" t="s">
        <v>429</v>
      </c>
    </row>
    <row r="8" spans="1:7" ht="65.25" thickTop="1" thickBot="1" x14ac:dyDescent="0.25">
      <c r="A8" s="38" t="s">
        <v>9</v>
      </c>
      <c r="B8" s="500" t="s">
        <v>152</v>
      </c>
      <c r="C8" s="501"/>
      <c r="D8" s="502"/>
      <c r="E8" s="13"/>
      <c r="F8" s="324" t="s">
        <v>390</v>
      </c>
      <c r="G8" s="427" t="s">
        <v>431</v>
      </c>
    </row>
    <row r="9" spans="1:7" s="7" customFormat="1" ht="44.25" customHeight="1" thickTop="1" thickBot="1" x14ac:dyDescent="0.25">
      <c r="A9" s="38" t="s">
        <v>136</v>
      </c>
      <c r="B9" s="500" t="s">
        <v>191</v>
      </c>
      <c r="C9" s="501"/>
      <c r="D9" s="502"/>
      <c r="E9" s="13"/>
      <c r="F9" s="324" t="s">
        <v>430</v>
      </c>
      <c r="G9" s="427" t="s">
        <v>430</v>
      </c>
    </row>
    <row r="10" spans="1:7" ht="12.75" customHeight="1" thickTop="1" x14ac:dyDescent="0.2">
      <c r="A10" s="39" t="s">
        <v>0</v>
      </c>
      <c r="B10" s="491" t="s">
        <v>154</v>
      </c>
      <c r="C10" s="492"/>
      <c r="D10" s="493"/>
      <c r="E10" s="13"/>
      <c r="F10" s="334" t="s">
        <v>392</v>
      </c>
      <c r="G10" s="428" t="s">
        <v>392</v>
      </c>
    </row>
    <row r="11" spans="1:7" x14ac:dyDescent="0.2">
      <c r="A11" s="39" t="s">
        <v>1</v>
      </c>
      <c r="B11" s="491" t="s">
        <v>153</v>
      </c>
      <c r="C11" s="492"/>
      <c r="D11" s="493"/>
      <c r="E11" s="13"/>
      <c r="F11" s="334" t="s">
        <v>393</v>
      </c>
      <c r="G11" s="428" t="s">
        <v>393</v>
      </c>
    </row>
    <row r="12" spans="1:7" ht="12.75" customHeight="1" thickBot="1" x14ac:dyDescent="0.25">
      <c r="A12" s="40" t="s">
        <v>2</v>
      </c>
      <c r="B12" s="494" t="s">
        <v>155</v>
      </c>
      <c r="C12" s="495"/>
      <c r="D12" s="496"/>
      <c r="E12" s="13"/>
      <c r="F12" s="336" t="s">
        <v>394</v>
      </c>
      <c r="G12" s="429" t="s">
        <v>394</v>
      </c>
    </row>
    <row r="13" spans="1:7" ht="13.5" thickTop="1" x14ac:dyDescent="0.2">
      <c r="A13" s="39" t="s">
        <v>3</v>
      </c>
      <c r="B13" s="491" t="s">
        <v>157</v>
      </c>
      <c r="C13" s="492"/>
      <c r="D13" s="493"/>
      <c r="E13" s="13"/>
      <c r="F13" s="334" t="s">
        <v>334</v>
      </c>
      <c r="G13" s="428" t="s">
        <v>334</v>
      </c>
    </row>
    <row r="14" spans="1:7" x14ac:dyDescent="0.2">
      <c r="A14" s="39" t="s">
        <v>4</v>
      </c>
      <c r="B14" s="491" t="s">
        <v>156</v>
      </c>
      <c r="C14" s="492"/>
      <c r="D14" s="493"/>
      <c r="E14" s="13"/>
      <c r="F14" s="334" t="s">
        <v>395</v>
      </c>
      <c r="G14" s="428" t="s">
        <v>395</v>
      </c>
    </row>
    <row r="15" spans="1:7" ht="15.75" customHeight="1" thickBot="1" x14ac:dyDescent="0.25">
      <c r="A15" s="41" t="s">
        <v>5</v>
      </c>
      <c r="B15" s="494" t="s">
        <v>158</v>
      </c>
      <c r="C15" s="495"/>
      <c r="D15" s="496"/>
      <c r="E15" s="13"/>
      <c r="F15" s="341" t="s">
        <v>432</v>
      </c>
      <c r="G15" s="429" t="s">
        <v>432</v>
      </c>
    </row>
    <row r="16" spans="1:7" ht="29.25" customHeight="1" thickTop="1" x14ac:dyDescent="0.2">
      <c r="A16" s="39" t="s">
        <v>101</v>
      </c>
      <c r="B16" s="497" t="s">
        <v>160</v>
      </c>
      <c r="C16" s="498"/>
      <c r="D16" s="499"/>
      <c r="E16" s="13"/>
      <c r="F16" s="342">
        <v>100</v>
      </c>
      <c r="G16" s="430">
        <v>100</v>
      </c>
    </row>
    <row r="17" spans="1:7" ht="30.75" customHeight="1" thickBot="1" x14ac:dyDescent="0.25">
      <c r="A17" s="41" t="s">
        <v>43</v>
      </c>
      <c r="B17" s="494" t="s">
        <v>159</v>
      </c>
      <c r="C17" s="495"/>
      <c r="D17" s="496"/>
      <c r="E17" s="13"/>
      <c r="F17" s="341" t="s">
        <v>366</v>
      </c>
      <c r="G17" s="431" t="s">
        <v>366</v>
      </c>
    </row>
    <row r="18" spans="1:7" s="9" customFormat="1" ht="14.25" thickTop="1" thickBot="1" x14ac:dyDescent="0.25">
      <c r="C18" s="10"/>
      <c r="D18" s="10"/>
      <c r="E18" s="10"/>
      <c r="F18" s="345"/>
      <c r="G18" s="286"/>
    </row>
    <row r="19" spans="1:7" s="11" customFormat="1" ht="16.5" thickBot="1" x14ac:dyDescent="0.25">
      <c r="A19" s="509" t="s">
        <v>150</v>
      </c>
      <c r="B19" s="510"/>
      <c r="C19" s="510"/>
      <c r="D19" s="511"/>
      <c r="E19" s="31"/>
      <c r="F19" s="573" t="s">
        <v>389</v>
      </c>
      <c r="G19" s="574"/>
    </row>
    <row r="20" spans="1:7" s="4" customFormat="1" ht="15" customHeight="1" thickBot="1" x14ac:dyDescent="0.3">
      <c r="A20" s="52" t="s">
        <v>6</v>
      </c>
      <c r="B20" s="26" t="s">
        <v>165</v>
      </c>
      <c r="C20" s="28"/>
      <c r="D20" s="45"/>
      <c r="E20" s="32"/>
      <c r="F20" s="415" t="s">
        <v>19</v>
      </c>
      <c r="G20" s="415" t="s">
        <v>429</v>
      </c>
    </row>
    <row r="21" spans="1:7" ht="56.25" customHeight="1" x14ac:dyDescent="0.2">
      <c r="A21" s="42" t="s">
        <v>42</v>
      </c>
      <c r="B21" s="512" t="s">
        <v>161</v>
      </c>
      <c r="C21" s="513"/>
      <c r="D21" s="514"/>
      <c r="E21" s="13"/>
      <c r="F21" s="416">
        <f>134069.14*('PPI Adj'!D6)</f>
        <v>156458.68638000003</v>
      </c>
      <c r="G21" s="432">
        <f>175510.87*('PPI Adj'!D6)</f>
        <v>204821.18528999999</v>
      </c>
    </row>
    <row r="22" spans="1:7" ht="28.5" customHeight="1" thickBot="1" x14ac:dyDescent="0.25">
      <c r="A22" s="43" t="s">
        <v>41</v>
      </c>
      <c r="B22" s="533" t="s">
        <v>163</v>
      </c>
      <c r="C22" s="534"/>
      <c r="D22" s="535"/>
      <c r="E22" s="1"/>
      <c r="F22" s="354">
        <v>20</v>
      </c>
      <c r="G22" s="354">
        <v>20</v>
      </c>
    </row>
    <row r="23" spans="1:7" ht="13.5" thickBot="1" x14ac:dyDescent="0.25">
      <c r="A23" s="69"/>
      <c r="B23" s="1"/>
      <c r="C23" s="1"/>
      <c r="D23" s="1"/>
      <c r="E23" s="1"/>
      <c r="F23" s="418"/>
      <c r="G23" s="361"/>
    </row>
    <row r="24" spans="1:7" s="7" customFormat="1" ht="16.5" thickBot="1" x14ac:dyDescent="0.25">
      <c r="A24" s="536" t="s">
        <v>164</v>
      </c>
      <c r="B24" s="537"/>
      <c r="C24" s="537"/>
      <c r="D24" s="538"/>
      <c r="E24" s="33"/>
      <c r="F24" s="573" t="s">
        <v>389</v>
      </c>
      <c r="G24" s="574"/>
    </row>
    <row r="25" spans="1:7" s="3" customFormat="1" ht="15" customHeight="1" thickBot="1" x14ac:dyDescent="0.3">
      <c r="A25" s="52" t="s">
        <v>6</v>
      </c>
      <c r="B25" s="53" t="s">
        <v>7</v>
      </c>
      <c r="C25" s="539" t="s">
        <v>165</v>
      </c>
      <c r="D25" s="540"/>
      <c r="E25" s="34"/>
      <c r="F25" s="415" t="s">
        <v>19</v>
      </c>
      <c r="G25" s="415" t="s">
        <v>429</v>
      </c>
    </row>
    <row r="26" spans="1:7" s="13" customFormat="1" ht="78.599999999999994" customHeight="1" thickBot="1" x14ac:dyDescent="0.3">
      <c r="A26" s="46" t="s">
        <v>8</v>
      </c>
      <c r="B26" s="24" t="s">
        <v>257</v>
      </c>
      <c r="C26" s="515" t="s">
        <v>118</v>
      </c>
      <c r="D26" s="516"/>
      <c r="E26" s="29"/>
      <c r="F26" s="343">
        <v>29000</v>
      </c>
      <c r="G26" s="433">
        <v>29000</v>
      </c>
    </row>
    <row r="27" spans="1:7" s="13" customFormat="1" x14ac:dyDescent="0.25">
      <c r="A27" s="517" t="s">
        <v>21</v>
      </c>
      <c r="B27" s="519" t="s">
        <v>265</v>
      </c>
      <c r="C27" s="521" t="s">
        <v>67</v>
      </c>
      <c r="D27" s="522"/>
      <c r="E27" s="29"/>
      <c r="F27" s="367">
        <v>10</v>
      </c>
      <c r="G27" s="434">
        <v>10</v>
      </c>
    </row>
    <row r="28" spans="1:7" s="13" customFormat="1" ht="13.5" thickBot="1" x14ac:dyDescent="0.3">
      <c r="A28" s="518"/>
      <c r="B28" s="520"/>
      <c r="C28" s="515" t="s">
        <v>68</v>
      </c>
      <c r="D28" s="516"/>
      <c r="E28" s="29"/>
      <c r="F28" s="343">
        <v>60</v>
      </c>
      <c r="G28" s="435">
        <v>60</v>
      </c>
    </row>
    <row r="29" spans="1:7" s="13" customFormat="1" ht="13.5" thickBot="1" x14ac:dyDescent="0.3">
      <c r="A29" s="47" t="s">
        <v>123</v>
      </c>
      <c r="B29" s="25" t="s">
        <v>108</v>
      </c>
      <c r="C29" s="531"/>
      <c r="D29" s="532"/>
      <c r="E29" s="30"/>
      <c r="F29" s="373"/>
      <c r="G29" s="436"/>
    </row>
    <row r="30" spans="1:7" s="13" customFormat="1" x14ac:dyDescent="0.25">
      <c r="A30" s="517" t="s">
        <v>59</v>
      </c>
      <c r="B30" s="519"/>
      <c r="C30" s="521" t="s">
        <v>58</v>
      </c>
      <c r="D30" s="522"/>
      <c r="E30" s="29"/>
      <c r="F30" s="367">
        <v>238</v>
      </c>
      <c r="G30" s="434">
        <v>238</v>
      </c>
    </row>
    <row r="31" spans="1:7" s="13" customFormat="1" x14ac:dyDescent="0.25">
      <c r="A31" s="525"/>
      <c r="B31" s="526"/>
      <c r="C31" s="527" t="s">
        <v>57</v>
      </c>
      <c r="D31" s="528"/>
      <c r="E31" s="29"/>
      <c r="F31" s="334">
        <v>419.7</v>
      </c>
      <c r="G31" s="437">
        <v>419.7</v>
      </c>
    </row>
    <row r="32" spans="1:7" s="13" customFormat="1" x14ac:dyDescent="0.25">
      <c r="A32" s="525"/>
      <c r="B32" s="526"/>
      <c r="C32" s="527" t="s">
        <v>69</v>
      </c>
      <c r="D32" s="528"/>
      <c r="E32" s="29"/>
      <c r="F32" s="334">
        <v>90</v>
      </c>
      <c r="G32" s="437">
        <v>90</v>
      </c>
    </row>
    <row r="33" spans="1:7" s="13" customFormat="1" x14ac:dyDescent="0.25">
      <c r="A33" s="525"/>
      <c r="B33" s="526"/>
      <c r="C33" s="529" t="s">
        <v>70</v>
      </c>
      <c r="D33" s="530"/>
      <c r="E33" s="29"/>
      <c r="F33" s="334">
        <v>78</v>
      </c>
      <c r="G33" s="437">
        <v>78</v>
      </c>
    </row>
    <row r="34" spans="1:7" s="13" customFormat="1" ht="13.5" thickBot="1" x14ac:dyDescent="0.3">
      <c r="A34" s="518"/>
      <c r="B34" s="520"/>
      <c r="C34" s="515" t="s">
        <v>111</v>
      </c>
      <c r="D34" s="516"/>
      <c r="E34" s="29"/>
      <c r="F34" s="343">
        <v>376</v>
      </c>
      <c r="G34" s="435">
        <v>376</v>
      </c>
    </row>
    <row r="35" spans="1:7" s="13" customFormat="1" ht="16.5" customHeight="1" thickBot="1" x14ac:dyDescent="0.3">
      <c r="A35" s="47" t="s">
        <v>224</v>
      </c>
      <c r="B35" s="25" t="s">
        <v>223</v>
      </c>
      <c r="C35" s="531"/>
      <c r="D35" s="532"/>
      <c r="E35" s="30"/>
      <c r="F35" s="373"/>
      <c r="G35" s="436"/>
    </row>
    <row r="36" spans="1:7" s="13" customFormat="1" x14ac:dyDescent="0.25">
      <c r="A36" s="517" t="s">
        <v>11</v>
      </c>
      <c r="B36" s="519"/>
      <c r="C36" s="521" t="s">
        <v>24</v>
      </c>
      <c r="D36" s="522"/>
      <c r="E36" s="29"/>
      <c r="F36" s="367">
        <v>10000</v>
      </c>
      <c r="G36" s="438">
        <v>10000</v>
      </c>
    </row>
    <row r="37" spans="1:7" s="13" customFormat="1" ht="13.5" thickBot="1" x14ac:dyDescent="0.3">
      <c r="A37" s="518"/>
      <c r="B37" s="520"/>
      <c r="C37" s="515" t="s">
        <v>22</v>
      </c>
      <c r="D37" s="516"/>
      <c r="E37" s="29"/>
      <c r="F37" s="343">
        <v>10000</v>
      </c>
      <c r="G37" s="433">
        <v>10000</v>
      </c>
    </row>
    <row r="38" spans="1:7" s="13" customFormat="1" x14ac:dyDescent="0.25">
      <c r="A38" s="517" t="s">
        <v>16</v>
      </c>
      <c r="B38" s="519"/>
      <c r="C38" s="521" t="s">
        <v>24</v>
      </c>
      <c r="D38" s="522"/>
      <c r="E38" s="29"/>
      <c r="F38" s="367">
        <v>19000</v>
      </c>
      <c r="G38" s="438">
        <v>19000</v>
      </c>
    </row>
    <row r="39" spans="1:7" s="13" customFormat="1" ht="13.5" thickBot="1" x14ac:dyDescent="0.3">
      <c r="A39" s="518"/>
      <c r="B39" s="520"/>
      <c r="C39" s="523" t="s">
        <v>23</v>
      </c>
      <c r="D39" s="524"/>
      <c r="E39" s="29"/>
      <c r="F39" s="343">
        <v>19000</v>
      </c>
      <c r="G39" s="433">
        <v>19000</v>
      </c>
    </row>
    <row r="40" spans="1:7" s="13" customFormat="1" ht="15.6" customHeight="1" thickBot="1" x14ac:dyDescent="0.3">
      <c r="A40" s="47" t="s">
        <v>52</v>
      </c>
      <c r="B40" s="25" t="s">
        <v>53</v>
      </c>
      <c r="C40" s="531"/>
      <c r="D40" s="532"/>
      <c r="E40" s="30"/>
      <c r="F40" s="373"/>
      <c r="G40" s="436"/>
    </row>
    <row r="41" spans="1:7" s="13" customFormat="1" x14ac:dyDescent="0.25">
      <c r="A41" s="517" t="s">
        <v>219</v>
      </c>
      <c r="B41" s="827" t="s">
        <v>222</v>
      </c>
      <c r="C41" s="521" t="s">
        <v>221</v>
      </c>
      <c r="D41" s="522"/>
      <c r="E41" s="29"/>
      <c r="F41" s="367" t="s">
        <v>424</v>
      </c>
      <c r="G41" s="434" t="s">
        <v>424</v>
      </c>
    </row>
    <row r="42" spans="1:7" s="13" customFormat="1" ht="14.45" customHeight="1" x14ac:dyDescent="0.25">
      <c r="A42" s="525"/>
      <c r="B42" s="828"/>
      <c r="C42" s="527" t="s">
        <v>220</v>
      </c>
      <c r="D42" s="528"/>
      <c r="E42" s="29"/>
      <c r="F42" s="334" t="s">
        <v>425</v>
      </c>
      <c r="G42" s="437" t="s">
        <v>425</v>
      </c>
    </row>
    <row r="43" spans="1:7" s="13" customFormat="1" ht="80.099999999999994" customHeight="1" thickBot="1" x14ac:dyDescent="0.3">
      <c r="A43" s="518"/>
      <c r="B43" s="828"/>
      <c r="C43" s="523"/>
      <c r="D43" s="524"/>
      <c r="E43" s="29"/>
      <c r="F43" s="329"/>
      <c r="G43" s="439"/>
    </row>
    <row r="44" spans="1:7" s="13" customFormat="1" ht="27.95" customHeight="1" thickBot="1" x14ac:dyDescent="0.3">
      <c r="A44" s="47" t="s">
        <v>219</v>
      </c>
      <c r="B44" s="25" t="s">
        <v>218</v>
      </c>
      <c r="C44" s="531"/>
      <c r="D44" s="532"/>
      <c r="E44" s="30"/>
      <c r="F44" s="373"/>
      <c r="G44" s="436"/>
    </row>
    <row r="45" spans="1:7" s="13" customFormat="1" ht="13.5" thickBot="1" x14ac:dyDescent="0.3">
      <c r="A45" s="541" t="s">
        <v>12</v>
      </c>
      <c r="B45" s="542" t="s">
        <v>142</v>
      </c>
      <c r="C45" s="521" t="s">
        <v>174</v>
      </c>
      <c r="D45" s="522"/>
      <c r="E45" s="29"/>
      <c r="F45" s="367" t="s">
        <v>398</v>
      </c>
      <c r="G45" s="434" t="s">
        <v>398</v>
      </c>
    </row>
    <row r="46" spans="1:7" s="13" customFormat="1" ht="13.5" thickBot="1" x14ac:dyDescent="0.3">
      <c r="A46" s="541"/>
      <c r="B46" s="542"/>
      <c r="C46" s="527" t="s">
        <v>175</v>
      </c>
      <c r="D46" s="528"/>
      <c r="E46" s="29"/>
      <c r="F46" s="334">
        <v>5675</v>
      </c>
      <c r="G46" s="440">
        <v>5675</v>
      </c>
    </row>
    <row r="47" spans="1:7" s="13" customFormat="1" ht="13.5" thickBot="1" x14ac:dyDescent="0.3">
      <c r="A47" s="541"/>
      <c r="B47" s="542"/>
      <c r="C47" s="527" t="s">
        <v>176</v>
      </c>
      <c r="D47" s="528"/>
      <c r="E47" s="29"/>
      <c r="F47" s="419" t="s">
        <v>398</v>
      </c>
      <c r="G47" s="441" t="s">
        <v>398</v>
      </c>
    </row>
    <row r="48" spans="1:7" s="13" customFormat="1" ht="13.5" thickBot="1" x14ac:dyDescent="0.3">
      <c r="A48" s="541"/>
      <c r="B48" s="542"/>
      <c r="C48" s="527" t="s">
        <v>177</v>
      </c>
      <c r="D48" s="528"/>
      <c r="E48" s="29"/>
      <c r="F48" s="334">
        <v>5355</v>
      </c>
      <c r="G48" s="440">
        <v>5355</v>
      </c>
    </row>
    <row r="49" spans="1:7" s="13" customFormat="1" ht="13.5" thickBot="1" x14ac:dyDescent="0.3">
      <c r="A49" s="541"/>
      <c r="B49" s="542"/>
      <c r="C49" s="527" t="s">
        <v>112</v>
      </c>
      <c r="D49" s="528"/>
      <c r="E49" s="29"/>
      <c r="F49" s="334" t="s">
        <v>399</v>
      </c>
      <c r="G49" s="437" t="s">
        <v>399</v>
      </c>
    </row>
    <row r="50" spans="1:7" s="13" customFormat="1" ht="13.5" thickBot="1" x14ac:dyDescent="0.3">
      <c r="A50" s="541"/>
      <c r="B50" s="542"/>
      <c r="C50" s="527" t="s">
        <v>113</v>
      </c>
      <c r="D50" s="528"/>
      <c r="E50" s="29"/>
      <c r="F50" s="334" t="s">
        <v>400</v>
      </c>
      <c r="G50" s="437" t="s">
        <v>400</v>
      </c>
    </row>
    <row r="51" spans="1:7" s="13" customFormat="1" ht="13.5" thickBot="1" x14ac:dyDescent="0.3">
      <c r="A51" s="541"/>
      <c r="B51" s="542"/>
      <c r="C51" s="529" t="s">
        <v>114</v>
      </c>
      <c r="D51" s="530"/>
      <c r="E51" s="29"/>
      <c r="F51" s="334" t="s">
        <v>401</v>
      </c>
      <c r="G51" s="437" t="s">
        <v>401</v>
      </c>
    </row>
    <row r="52" spans="1:7" s="13" customFormat="1" ht="13.5" thickBot="1" x14ac:dyDescent="0.3">
      <c r="A52" s="541"/>
      <c r="B52" s="542"/>
      <c r="C52" s="515" t="s">
        <v>115</v>
      </c>
      <c r="D52" s="516"/>
      <c r="E52" s="29"/>
      <c r="F52" s="343" t="s">
        <v>400</v>
      </c>
      <c r="G52" s="435" t="s">
        <v>400</v>
      </c>
    </row>
    <row r="53" spans="1:7" s="13" customFormat="1" x14ac:dyDescent="0.25">
      <c r="A53" s="517" t="s">
        <v>10</v>
      </c>
      <c r="B53" s="519" t="s">
        <v>217</v>
      </c>
      <c r="C53" s="521" t="s">
        <v>116</v>
      </c>
      <c r="D53" s="522"/>
      <c r="E53" s="29"/>
      <c r="F53" s="367">
        <v>6</v>
      </c>
      <c r="G53" s="434">
        <v>6</v>
      </c>
    </row>
    <row r="54" spans="1:7" s="13" customFormat="1" x14ac:dyDescent="0.25">
      <c r="A54" s="525"/>
      <c r="B54" s="526"/>
      <c r="C54" s="527" t="s">
        <v>117</v>
      </c>
      <c r="D54" s="528"/>
      <c r="E54" s="29"/>
      <c r="F54" s="334" t="s">
        <v>341</v>
      </c>
      <c r="G54" s="437" t="s">
        <v>341</v>
      </c>
    </row>
    <row r="55" spans="1:7" s="13" customFormat="1" ht="13.5" thickBot="1" x14ac:dyDescent="0.3">
      <c r="A55" s="525"/>
      <c r="B55" s="526"/>
      <c r="C55" s="523" t="s">
        <v>71</v>
      </c>
      <c r="D55" s="524"/>
      <c r="E55" s="29"/>
      <c r="F55" s="329" t="s">
        <v>402</v>
      </c>
      <c r="G55" s="439" t="s">
        <v>402</v>
      </c>
    </row>
    <row r="56" spans="1:7" s="13" customFormat="1" ht="78.599999999999994" customHeight="1" thickBot="1" x14ac:dyDescent="0.3">
      <c r="A56" s="48" t="s">
        <v>9</v>
      </c>
      <c r="B56" s="23" t="s">
        <v>254</v>
      </c>
      <c r="C56" s="529"/>
      <c r="D56" s="530"/>
      <c r="E56" s="29"/>
      <c r="F56" s="367"/>
      <c r="G56" s="434"/>
    </row>
    <row r="57" spans="1:7" s="13" customFormat="1" ht="28.5" customHeight="1" thickBot="1" x14ac:dyDescent="0.3">
      <c r="A57" s="48" t="s">
        <v>253</v>
      </c>
      <c r="B57" s="23" t="s">
        <v>252</v>
      </c>
      <c r="C57" s="531"/>
      <c r="D57" s="532"/>
      <c r="E57" s="30"/>
      <c r="F57" s="384"/>
      <c r="G57" s="434"/>
    </row>
    <row r="58" spans="1:7" s="13" customFormat="1" ht="25.5" x14ac:dyDescent="0.25">
      <c r="A58" s="517" t="s">
        <v>25</v>
      </c>
      <c r="B58" s="519" t="s">
        <v>93</v>
      </c>
      <c r="C58" s="521" t="s">
        <v>72</v>
      </c>
      <c r="D58" s="522"/>
      <c r="E58" s="29"/>
      <c r="F58" s="367" t="s">
        <v>403</v>
      </c>
      <c r="G58" s="434" t="s">
        <v>403</v>
      </c>
    </row>
    <row r="59" spans="1:7" s="13" customFormat="1" ht="61.5" customHeight="1" thickBot="1" x14ac:dyDescent="0.3">
      <c r="A59" s="518"/>
      <c r="B59" s="520"/>
      <c r="C59" s="515" t="s">
        <v>73</v>
      </c>
      <c r="D59" s="516"/>
      <c r="E59" s="29"/>
      <c r="F59" s="343">
        <v>185</v>
      </c>
      <c r="G59" s="435">
        <v>185</v>
      </c>
    </row>
    <row r="60" spans="1:7" s="13" customFormat="1" x14ac:dyDescent="0.25">
      <c r="A60" s="517" t="s">
        <v>26</v>
      </c>
      <c r="B60" s="519" t="s">
        <v>251</v>
      </c>
      <c r="C60" s="521" t="s">
        <v>74</v>
      </c>
      <c r="D60" s="522"/>
      <c r="E60" s="29"/>
      <c r="F60" s="367" t="s">
        <v>404</v>
      </c>
      <c r="G60" s="434" t="s">
        <v>404</v>
      </c>
    </row>
    <row r="61" spans="1:7" s="13" customFormat="1" x14ac:dyDescent="0.25">
      <c r="A61" s="525"/>
      <c r="B61" s="526"/>
      <c r="C61" s="527" t="s">
        <v>75</v>
      </c>
      <c r="D61" s="528"/>
      <c r="E61" s="29"/>
      <c r="F61" s="334">
        <v>3</v>
      </c>
      <c r="G61" s="437">
        <v>3</v>
      </c>
    </row>
    <row r="62" spans="1:7" s="13" customFormat="1" ht="32.25" customHeight="1" thickBot="1" x14ac:dyDescent="0.3">
      <c r="A62" s="518"/>
      <c r="B62" s="520"/>
      <c r="C62" s="515" t="s">
        <v>250</v>
      </c>
      <c r="D62" s="516"/>
      <c r="E62" s="29"/>
      <c r="F62" s="343" t="s">
        <v>405</v>
      </c>
      <c r="G62" s="435" t="s">
        <v>405</v>
      </c>
    </row>
    <row r="63" spans="1:7" s="13" customFormat="1" ht="17.100000000000001" customHeight="1" thickBot="1" x14ac:dyDescent="0.3">
      <c r="A63" s="47" t="s">
        <v>44</v>
      </c>
      <c r="B63" s="25" t="s">
        <v>45</v>
      </c>
      <c r="C63" s="531"/>
      <c r="D63" s="532"/>
      <c r="E63" s="30"/>
      <c r="F63" s="384"/>
      <c r="G63" s="442"/>
    </row>
    <row r="64" spans="1:7" s="13" customFormat="1" ht="28.5" customHeight="1" thickBot="1" x14ac:dyDescent="0.3">
      <c r="A64" s="47" t="s">
        <v>44</v>
      </c>
      <c r="B64" s="25" t="s">
        <v>63</v>
      </c>
      <c r="C64" s="531"/>
      <c r="D64" s="532"/>
      <c r="E64" s="30"/>
      <c r="F64" s="384"/>
      <c r="G64" s="442"/>
    </row>
    <row r="65" spans="1:7" s="13" customFormat="1" ht="27" customHeight="1" thickBot="1" x14ac:dyDescent="0.3">
      <c r="A65" s="47" t="s">
        <v>44</v>
      </c>
      <c r="B65" s="25" t="s">
        <v>64</v>
      </c>
      <c r="C65" s="531"/>
      <c r="D65" s="532"/>
      <c r="E65" s="30"/>
      <c r="F65" s="384"/>
      <c r="G65" s="442"/>
    </row>
    <row r="66" spans="1:7" s="13" customFormat="1" ht="27" customHeight="1" thickBot="1" x14ac:dyDescent="0.3">
      <c r="A66" s="47" t="s">
        <v>50</v>
      </c>
      <c r="B66" s="25" t="s">
        <v>216</v>
      </c>
      <c r="C66" s="531"/>
      <c r="D66" s="532"/>
      <c r="E66" s="30"/>
      <c r="F66" s="384"/>
      <c r="G66" s="442"/>
    </row>
    <row r="67" spans="1:7" s="13" customFormat="1" ht="15.6" customHeight="1" thickBot="1" x14ac:dyDescent="0.3">
      <c r="A67" s="47" t="s">
        <v>27</v>
      </c>
      <c r="B67" s="25" t="s">
        <v>215</v>
      </c>
      <c r="C67" s="543" t="s">
        <v>77</v>
      </c>
      <c r="D67" s="544"/>
      <c r="E67" s="29"/>
      <c r="F67" s="373" t="s">
        <v>426</v>
      </c>
      <c r="G67" s="436" t="s">
        <v>426</v>
      </c>
    </row>
    <row r="68" spans="1:7" s="13" customFormat="1" ht="53.45" customHeight="1" thickBot="1" x14ac:dyDescent="0.3">
      <c r="A68" s="47" t="s">
        <v>214</v>
      </c>
      <c r="B68" s="25" t="s">
        <v>213</v>
      </c>
      <c r="C68" s="543"/>
      <c r="D68" s="544"/>
      <c r="E68" s="29"/>
      <c r="F68" s="373"/>
      <c r="G68" s="442"/>
    </row>
    <row r="69" spans="1:7" s="13" customFormat="1" ht="15" customHeight="1" x14ac:dyDescent="0.25">
      <c r="A69" s="517" t="s">
        <v>28</v>
      </c>
      <c r="B69" s="519" t="s">
        <v>264</v>
      </c>
      <c r="C69" s="749" t="s">
        <v>248</v>
      </c>
      <c r="D69" s="522"/>
      <c r="E69" s="29"/>
      <c r="F69" s="367" t="s">
        <v>433</v>
      </c>
      <c r="G69" s="434" t="s">
        <v>433</v>
      </c>
    </row>
    <row r="70" spans="1:7" s="13" customFormat="1" ht="39" thickBot="1" x14ac:dyDescent="0.3">
      <c r="A70" s="518"/>
      <c r="B70" s="520"/>
      <c r="C70" s="584" t="s">
        <v>247</v>
      </c>
      <c r="D70" s="516"/>
      <c r="E70" s="29"/>
      <c r="F70" s="343" t="s">
        <v>428</v>
      </c>
      <c r="G70" s="435" t="s">
        <v>434</v>
      </c>
    </row>
    <row r="71" spans="1:7" s="13" customFormat="1" ht="40.5" customHeight="1" thickBot="1" x14ac:dyDescent="0.3">
      <c r="A71" s="47" t="s">
        <v>51</v>
      </c>
      <c r="B71" s="25" t="s">
        <v>212</v>
      </c>
      <c r="C71" s="531"/>
      <c r="D71" s="532"/>
      <c r="E71" s="30"/>
      <c r="F71" s="373"/>
      <c r="G71" s="436"/>
    </row>
    <row r="72" spans="1:7" s="13" customFormat="1" ht="41.1" customHeight="1" thickBot="1" x14ac:dyDescent="0.3">
      <c r="A72" s="47" t="s">
        <v>54</v>
      </c>
      <c r="B72" s="25" t="s">
        <v>80</v>
      </c>
      <c r="C72" s="531"/>
      <c r="D72" s="532"/>
      <c r="E72" s="30"/>
      <c r="F72" s="373"/>
      <c r="G72" s="436"/>
    </row>
    <row r="73" spans="1:7" s="13" customFormat="1" ht="80.099999999999994" customHeight="1" thickBot="1" x14ac:dyDescent="0.3">
      <c r="A73" s="47" t="s">
        <v>29</v>
      </c>
      <c r="B73" s="25" t="s">
        <v>211</v>
      </c>
      <c r="C73" s="531"/>
      <c r="D73" s="532"/>
      <c r="E73" s="30"/>
      <c r="F73" s="373"/>
      <c r="G73" s="436"/>
    </row>
    <row r="74" spans="1:7" s="13" customFormat="1" ht="53.1" customHeight="1" thickBot="1" x14ac:dyDescent="0.3">
      <c r="A74" s="47" t="s">
        <v>31</v>
      </c>
      <c r="B74" s="25" t="s">
        <v>210</v>
      </c>
      <c r="C74" s="543" t="s">
        <v>30</v>
      </c>
      <c r="D74" s="544"/>
      <c r="E74" s="29"/>
      <c r="F74" s="373" t="s">
        <v>408</v>
      </c>
      <c r="G74" s="436" t="s">
        <v>408</v>
      </c>
    </row>
    <row r="75" spans="1:7" s="13" customFormat="1" ht="27.95" customHeight="1" thickBot="1" x14ac:dyDescent="0.3">
      <c r="A75" s="47" t="s">
        <v>55</v>
      </c>
      <c r="B75" s="25" t="s">
        <v>95</v>
      </c>
      <c r="C75" s="531"/>
      <c r="D75" s="532"/>
      <c r="E75" s="30"/>
      <c r="F75" s="373"/>
      <c r="G75" s="436"/>
    </row>
    <row r="76" spans="1:7" s="13" customFormat="1" ht="30" customHeight="1" thickBot="1" x14ac:dyDescent="0.3">
      <c r="A76" s="47" t="s">
        <v>32</v>
      </c>
      <c r="B76" s="25" t="s">
        <v>96</v>
      </c>
      <c r="C76" s="543" t="s">
        <v>30</v>
      </c>
      <c r="D76" s="544"/>
      <c r="E76" s="29"/>
      <c r="F76" s="373" t="s">
        <v>409</v>
      </c>
      <c r="G76" s="436" t="s">
        <v>409</v>
      </c>
    </row>
    <row r="77" spans="1:7" s="13" customFormat="1" ht="39.6" customHeight="1" thickBot="1" x14ac:dyDescent="0.3">
      <c r="A77" s="47" t="s">
        <v>56</v>
      </c>
      <c r="B77" s="25" t="s">
        <v>167</v>
      </c>
      <c r="C77" s="531"/>
      <c r="D77" s="532"/>
      <c r="E77" s="30"/>
      <c r="F77" s="373"/>
      <c r="G77" s="436"/>
    </row>
    <row r="78" spans="1:7" s="13" customFormat="1" ht="29.45" customHeight="1" thickBot="1" x14ac:dyDescent="0.3">
      <c r="A78" s="47" t="s">
        <v>48</v>
      </c>
      <c r="B78" s="25" t="s">
        <v>47</v>
      </c>
      <c r="C78" s="531"/>
      <c r="D78" s="532"/>
      <c r="E78" s="30"/>
      <c r="F78" s="373"/>
      <c r="G78" s="436"/>
    </row>
    <row r="79" spans="1:7" s="13" customFormat="1" ht="30" customHeight="1" thickBot="1" x14ac:dyDescent="0.3">
      <c r="A79" s="47" t="s">
        <v>49</v>
      </c>
      <c r="B79" s="25" t="s">
        <v>103</v>
      </c>
      <c r="C79" s="531"/>
      <c r="D79" s="532"/>
      <c r="E79" s="30"/>
      <c r="F79" s="373"/>
      <c r="G79" s="436"/>
    </row>
    <row r="80" spans="1:7" s="13" customFormat="1" ht="27" customHeight="1" thickBot="1" x14ac:dyDescent="0.3">
      <c r="A80" s="47" t="s">
        <v>46</v>
      </c>
      <c r="B80" s="25" t="s">
        <v>81</v>
      </c>
      <c r="C80" s="531"/>
      <c r="D80" s="532"/>
      <c r="E80" s="30"/>
      <c r="F80" s="373"/>
      <c r="G80" s="436"/>
    </row>
    <row r="81" spans="1:7" ht="13.5" thickBot="1" x14ac:dyDescent="0.25">
      <c r="G81" s="361"/>
    </row>
    <row r="82" spans="1:7" s="16" customFormat="1" ht="18.75" thickBot="1" x14ac:dyDescent="0.3">
      <c r="A82" s="536" t="s">
        <v>168</v>
      </c>
      <c r="B82" s="537"/>
      <c r="C82" s="537"/>
      <c r="D82" s="538"/>
      <c r="E82" s="33"/>
      <c r="F82" s="573" t="s">
        <v>389</v>
      </c>
      <c r="G82" s="574"/>
    </row>
    <row r="83" spans="1:7" s="3" customFormat="1" ht="15" customHeight="1" thickBot="1" x14ac:dyDescent="0.3">
      <c r="A83" s="545" t="s">
        <v>169</v>
      </c>
      <c r="B83" s="546"/>
      <c r="C83" s="546"/>
      <c r="D83" s="547"/>
      <c r="E83" s="34"/>
      <c r="F83" s="415" t="s">
        <v>19</v>
      </c>
      <c r="G83" s="415" t="s">
        <v>429</v>
      </c>
    </row>
    <row r="84" spans="1:7" s="13" customFormat="1" x14ac:dyDescent="0.25">
      <c r="A84" s="548" t="s">
        <v>83</v>
      </c>
      <c r="B84" s="549"/>
      <c r="C84" s="549"/>
      <c r="D84" s="550"/>
      <c r="E84" s="30"/>
      <c r="F84" s="420">
        <f>-1010*('PPI Adj'!D6)</f>
        <v>-1178.67</v>
      </c>
      <c r="G84" s="420">
        <f>-1010*('PPI Adj'!D6)</f>
        <v>-1178.67</v>
      </c>
    </row>
    <row r="85" spans="1:7" s="13" customFormat="1" x14ac:dyDescent="0.25">
      <c r="A85" s="551" t="s">
        <v>34</v>
      </c>
      <c r="B85" s="552"/>
      <c r="C85" s="552"/>
      <c r="D85" s="553"/>
      <c r="E85" s="29"/>
      <c r="F85" s="421">
        <f>947*('PPI Adj'!D6)</f>
        <v>1105.1490000000001</v>
      </c>
      <c r="G85" s="421">
        <f>947*('PPI Adj'!D6)</f>
        <v>1105.1490000000001</v>
      </c>
    </row>
    <row r="86" spans="1:7" s="13" customFormat="1" x14ac:dyDescent="0.25">
      <c r="A86" s="551" t="s">
        <v>35</v>
      </c>
      <c r="B86" s="552"/>
      <c r="C86" s="552"/>
      <c r="D86" s="553"/>
      <c r="E86" s="30"/>
      <c r="F86" s="421">
        <f>452*('PPI Adj'!D6)</f>
        <v>527.48400000000004</v>
      </c>
      <c r="G86" s="421">
        <f>452*('PPI Adj'!D6)</f>
        <v>527.48400000000004</v>
      </c>
    </row>
    <row r="87" spans="1:7" s="13" customFormat="1" x14ac:dyDescent="0.25">
      <c r="A87" s="551" t="s">
        <v>36</v>
      </c>
      <c r="B87" s="552"/>
      <c r="C87" s="552"/>
      <c r="D87" s="553"/>
      <c r="E87" s="29"/>
      <c r="F87" s="421">
        <f>477.6*('PPI Adj'!D6)</f>
        <v>557.3592000000001</v>
      </c>
      <c r="G87" s="421">
        <f>477.6*('PPI Adj'!D6)</f>
        <v>557.3592000000001</v>
      </c>
    </row>
    <row r="88" spans="1:7" s="13" customFormat="1" x14ac:dyDescent="0.25">
      <c r="A88" s="551" t="s">
        <v>60</v>
      </c>
      <c r="B88" s="552"/>
      <c r="C88" s="552"/>
      <c r="D88" s="553"/>
      <c r="E88" s="29"/>
      <c r="F88" s="421">
        <f>86*('PPI Adj'!D6)</f>
        <v>100.36200000000001</v>
      </c>
      <c r="G88" s="421">
        <f>86*('PPI Adj'!D6)</f>
        <v>100.36200000000001</v>
      </c>
    </row>
    <row r="89" spans="1:7" s="13" customFormat="1" x14ac:dyDescent="0.25">
      <c r="A89" s="551" t="s">
        <v>61</v>
      </c>
      <c r="B89" s="552"/>
      <c r="C89" s="552"/>
      <c r="D89" s="553"/>
      <c r="E89" s="29"/>
      <c r="F89" s="421">
        <f>1419*('PPI Adj'!D6)</f>
        <v>1655.973</v>
      </c>
      <c r="G89" s="421">
        <f>1419*('PPI Adj'!D6)</f>
        <v>1655.973</v>
      </c>
    </row>
    <row r="90" spans="1:7" s="13" customFormat="1" x14ac:dyDescent="0.25">
      <c r="A90" s="551" t="s">
        <v>86</v>
      </c>
      <c r="B90" s="552"/>
      <c r="C90" s="552"/>
      <c r="D90" s="553"/>
      <c r="E90" s="29"/>
      <c r="F90" s="421">
        <f>856*('PPI Adj'!D6)</f>
        <v>998.952</v>
      </c>
      <c r="G90" s="421">
        <f>856*('PPI Adj'!D6)</f>
        <v>998.952</v>
      </c>
    </row>
    <row r="91" spans="1:7" x14ac:dyDescent="0.2">
      <c r="A91" s="551" t="s">
        <v>85</v>
      </c>
      <c r="B91" s="552"/>
      <c r="C91" s="552"/>
      <c r="D91" s="553"/>
      <c r="E91" s="29"/>
      <c r="F91" s="421">
        <f>8686*('PPI Adj'!D6)</f>
        <v>10136.562</v>
      </c>
      <c r="G91" s="421">
        <f>8686*('PPI Adj'!D6)</f>
        <v>10136.562</v>
      </c>
    </row>
    <row r="92" spans="1:7" x14ac:dyDescent="0.2">
      <c r="A92" s="551" t="s">
        <v>13</v>
      </c>
      <c r="B92" s="552"/>
      <c r="C92" s="552"/>
      <c r="D92" s="553"/>
      <c r="E92" s="29"/>
      <c r="F92" s="421">
        <f>10801*('PPI Adj'!D6)</f>
        <v>12604.767</v>
      </c>
      <c r="G92" s="421">
        <f>10801*('PPI Adj'!D6)</f>
        <v>12604.767</v>
      </c>
    </row>
    <row r="93" spans="1:7" x14ac:dyDescent="0.2">
      <c r="A93" s="551" t="s">
        <v>37</v>
      </c>
      <c r="B93" s="552"/>
      <c r="C93" s="552"/>
      <c r="D93" s="553"/>
      <c r="E93" s="30"/>
      <c r="F93" s="421">
        <f>595*('PPI Adj'!D6)</f>
        <v>694.36500000000001</v>
      </c>
      <c r="G93" s="421">
        <f>595*('PPI Adj'!D6)</f>
        <v>694.36500000000001</v>
      </c>
    </row>
    <row r="94" spans="1:7" x14ac:dyDescent="0.2">
      <c r="A94" s="551" t="s">
        <v>38</v>
      </c>
      <c r="B94" s="552"/>
      <c r="C94" s="552"/>
      <c r="D94" s="553"/>
      <c r="E94" s="30"/>
      <c r="F94" s="421">
        <f>583*('PPI Adj'!D6)</f>
        <v>680.36099999999999</v>
      </c>
      <c r="G94" s="421">
        <f>583*('PPI Adj'!D6)</f>
        <v>680.36099999999999</v>
      </c>
    </row>
    <row r="95" spans="1:7" x14ac:dyDescent="0.2">
      <c r="A95" s="551" t="s">
        <v>201</v>
      </c>
      <c r="B95" s="552"/>
      <c r="C95" s="552"/>
      <c r="D95" s="553"/>
      <c r="E95" s="30"/>
      <c r="F95" s="421" t="s">
        <v>183</v>
      </c>
      <c r="G95" s="421" t="s">
        <v>183</v>
      </c>
    </row>
    <row r="96" spans="1:7" x14ac:dyDescent="0.2">
      <c r="A96" s="551" t="s">
        <v>39</v>
      </c>
      <c r="B96" s="552"/>
      <c r="C96" s="552"/>
      <c r="D96" s="553"/>
      <c r="E96" s="29"/>
      <c r="F96" s="421">
        <f>472*('PPI Adj'!D6)</f>
        <v>550.82400000000007</v>
      </c>
      <c r="G96" s="421">
        <f>472*('PPI Adj'!D6)</f>
        <v>550.82400000000007</v>
      </c>
    </row>
    <row r="97" spans="1:7" x14ac:dyDescent="0.2">
      <c r="A97" s="551" t="s">
        <v>88</v>
      </c>
      <c r="B97" s="552"/>
      <c r="C97" s="552"/>
      <c r="D97" s="553"/>
      <c r="E97" s="29"/>
      <c r="F97" s="421">
        <f>4245*('PPI Adj'!D6)</f>
        <v>4953.915</v>
      </c>
      <c r="G97" s="421">
        <f>4245*('PPI Adj'!D6)</f>
        <v>4953.915</v>
      </c>
    </row>
    <row r="98" spans="1:7" x14ac:dyDescent="0.2">
      <c r="A98" s="551" t="s">
        <v>40</v>
      </c>
      <c r="B98" s="552"/>
      <c r="C98" s="552"/>
      <c r="D98" s="553"/>
      <c r="E98" s="29"/>
      <c r="F98" s="421">
        <f>329*('PPI Adj'!D6)</f>
        <v>383.94300000000004</v>
      </c>
      <c r="G98" s="421">
        <f>329*('PPI Adj'!D6)</f>
        <v>383.94300000000004</v>
      </c>
    </row>
    <row r="99" spans="1:7" x14ac:dyDescent="0.2">
      <c r="A99" s="551" t="s">
        <v>14</v>
      </c>
      <c r="B99" s="552"/>
      <c r="C99" s="552"/>
      <c r="D99" s="553"/>
      <c r="E99" s="29"/>
      <c r="F99" s="421">
        <f>12210*('PPI Adj'!D6)</f>
        <v>14249.07</v>
      </c>
      <c r="G99" s="421">
        <f>12210*('PPI Adj'!D6)</f>
        <v>14249.07</v>
      </c>
    </row>
    <row r="100" spans="1:7" x14ac:dyDescent="0.2">
      <c r="A100" s="551" t="s">
        <v>91</v>
      </c>
      <c r="B100" s="552"/>
      <c r="C100" s="552"/>
      <c r="D100" s="553"/>
      <c r="E100" s="29"/>
      <c r="F100" s="421">
        <f>1971*('PPI Adj'!D6)</f>
        <v>2300.1570000000002</v>
      </c>
      <c r="G100" s="421">
        <f>1971*('PPI Adj'!D6)</f>
        <v>2300.1570000000002</v>
      </c>
    </row>
    <row r="101" spans="1:7" x14ac:dyDescent="0.2">
      <c r="A101" s="557" t="s">
        <v>272</v>
      </c>
      <c r="B101" s="558"/>
      <c r="C101" s="558"/>
      <c r="D101" s="559"/>
      <c r="E101" s="29"/>
      <c r="F101" s="422">
        <f>-1775*('PPI Adj'!D6)</f>
        <v>-2071.4250000000002</v>
      </c>
      <c r="G101" s="422">
        <f>-1775*('PPI Adj'!D6)</f>
        <v>-2071.4250000000002</v>
      </c>
    </row>
    <row r="102" spans="1:7" ht="13.5" thickBot="1" x14ac:dyDescent="0.25">
      <c r="A102" s="554" t="s">
        <v>92</v>
      </c>
      <c r="B102" s="555"/>
      <c r="C102" s="555"/>
      <c r="D102" s="556"/>
      <c r="E102" s="30"/>
      <c r="F102" s="423">
        <f>2023*('PPI Adj'!D6)</f>
        <v>2360.8409999999999</v>
      </c>
      <c r="G102" s="423">
        <f>2023*('PPI Adj'!D6)</f>
        <v>2360.8409999999999</v>
      </c>
    </row>
    <row r="103" spans="1:7" ht="13.5" thickBot="1" x14ac:dyDescent="0.25">
      <c r="G103" s="361"/>
    </row>
    <row r="104" spans="1:7" s="16" customFormat="1" ht="18.75" thickBot="1" x14ac:dyDescent="0.3">
      <c r="A104" s="536" t="s">
        <v>166</v>
      </c>
      <c r="B104" s="537"/>
      <c r="C104" s="537"/>
      <c r="D104" s="538"/>
      <c r="E104" s="33"/>
      <c r="F104" s="573" t="s">
        <v>389</v>
      </c>
      <c r="G104" s="574"/>
    </row>
    <row r="105" spans="1:7" s="3" customFormat="1" ht="15" customHeight="1" thickBot="1" x14ac:dyDescent="0.3">
      <c r="A105" s="49" t="s">
        <v>33</v>
      </c>
      <c r="B105" s="19" t="s">
        <v>7</v>
      </c>
      <c r="C105" s="560" t="s">
        <v>165</v>
      </c>
      <c r="D105" s="561"/>
      <c r="E105" s="34"/>
      <c r="F105" s="415" t="s">
        <v>19</v>
      </c>
      <c r="G105" s="415" t="s">
        <v>429</v>
      </c>
    </row>
    <row r="106" spans="1:7" s="13" customFormat="1" ht="41.1" customHeight="1" thickBot="1" x14ac:dyDescent="0.3">
      <c r="A106" s="50" t="s">
        <v>83</v>
      </c>
      <c r="B106" s="18" t="s">
        <v>146</v>
      </c>
      <c r="C106" s="562"/>
      <c r="D106" s="563"/>
      <c r="E106" s="30"/>
      <c r="F106" s="373"/>
      <c r="G106" s="373"/>
    </row>
    <row r="107" spans="1:7" s="13" customFormat="1" ht="26.25" thickBot="1" x14ac:dyDescent="0.3">
      <c r="A107" s="47" t="s">
        <v>34</v>
      </c>
      <c r="B107" s="25" t="s">
        <v>107</v>
      </c>
      <c r="C107" s="543" t="s">
        <v>30</v>
      </c>
      <c r="D107" s="544"/>
      <c r="E107" s="29"/>
      <c r="F107" s="373" t="s">
        <v>349</v>
      </c>
      <c r="G107" s="373" t="s">
        <v>349</v>
      </c>
    </row>
    <row r="108" spans="1:7" s="13" customFormat="1" ht="51.95" customHeight="1" thickBot="1" x14ac:dyDescent="0.3">
      <c r="A108" s="47" t="s">
        <v>35</v>
      </c>
      <c r="B108" s="25" t="s">
        <v>97</v>
      </c>
      <c r="C108" s="531"/>
      <c r="D108" s="532"/>
      <c r="E108" s="30"/>
      <c r="F108" s="373"/>
      <c r="G108" s="373"/>
    </row>
    <row r="109" spans="1:7" s="13" customFormat="1" ht="26.25" thickBot="1" x14ac:dyDescent="0.3">
      <c r="A109" s="47" t="s">
        <v>36</v>
      </c>
      <c r="B109" s="25" t="s">
        <v>84</v>
      </c>
      <c r="C109" s="543" t="s">
        <v>99</v>
      </c>
      <c r="D109" s="544"/>
      <c r="E109" s="29"/>
      <c r="F109" s="373" t="s">
        <v>410</v>
      </c>
      <c r="G109" s="373" t="s">
        <v>410</v>
      </c>
    </row>
    <row r="110" spans="1:7" s="13" customFormat="1" ht="12.75" customHeight="1" x14ac:dyDescent="0.25">
      <c r="A110" s="517" t="s">
        <v>60</v>
      </c>
      <c r="B110" s="519" t="s">
        <v>133</v>
      </c>
      <c r="C110" s="521" t="s">
        <v>203</v>
      </c>
      <c r="D110" s="522"/>
      <c r="E110" s="29"/>
      <c r="F110" s="367" t="s">
        <v>398</v>
      </c>
      <c r="G110" s="367" t="s">
        <v>398</v>
      </c>
    </row>
    <row r="111" spans="1:7" s="13" customFormat="1" x14ac:dyDescent="0.25">
      <c r="A111" s="525"/>
      <c r="B111" s="526"/>
      <c r="C111" s="527" t="s">
        <v>202</v>
      </c>
      <c r="D111" s="528"/>
      <c r="E111" s="29"/>
      <c r="F111" s="334">
        <v>5675</v>
      </c>
      <c r="G111" s="334">
        <v>5675</v>
      </c>
    </row>
    <row r="112" spans="1:7" s="13" customFormat="1" x14ac:dyDescent="0.25">
      <c r="A112" s="525"/>
      <c r="B112" s="526"/>
      <c r="C112" s="527" t="s">
        <v>114</v>
      </c>
      <c r="D112" s="528"/>
      <c r="E112" s="29"/>
      <c r="F112" s="334" t="s">
        <v>411</v>
      </c>
      <c r="G112" s="334" t="s">
        <v>411</v>
      </c>
    </row>
    <row r="113" spans="1:7" s="13" customFormat="1" ht="30.75" customHeight="1" thickBot="1" x14ac:dyDescent="0.3">
      <c r="A113" s="518"/>
      <c r="B113" s="520"/>
      <c r="C113" s="515" t="s">
        <v>115</v>
      </c>
      <c r="D113" s="516"/>
      <c r="E113" s="29"/>
      <c r="F113" s="343" t="s">
        <v>412</v>
      </c>
      <c r="G113" s="343" t="s">
        <v>412</v>
      </c>
    </row>
    <row r="114" spans="1:7" s="13" customFormat="1" ht="12.75" customHeight="1" x14ac:dyDescent="0.25">
      <c r="A114" s="517" t="s">
        <v>61</v>
      </c>
      <c r="B114" s="519" t="s">
        <v>206</v>
      </c>
      <c r="C114" s="521" t="s">
        <v>205</v>
      </c>
      <c r="D114" s="522"/>
      <c r="E114" s="29"/>
      <c r="F114" s="367" t="s">
        <v>413</v>
      </c>
      <c r="G114" s="367" t="s">
        <v>413</v>
      </c>
    </row>
    <row r="115" spans="1:7" s="13" customFormat="1" x14ac:dyDescent="0.25">
      <c r="A115" s="525"/>
      <c r="B115" s="526"/>
      <c r="C115" s="527" t="s">
        <v>204</v>
      </c>
      <c r="D115" s="528"/>
      <c r="E115" s="29"/>
      <c r="F115" s="419">
        <v>6610</v>
      </c>
      <c r="G115" s="419">
        <v>6610</v>
      </c>
    </row>
    <row r="116" spans="1:7" s="13" customFormat="1" x14ac:dyDescent="0.25">
      <c r="A116" s="525"/>
      <c r="B116" s="526"/>
      <c r="C116" s="527" t="s">
        <v>203</v>
      </c>
      <c r="D116" s="528"/>
      <c r="E116" s="29"/>
      <c r="F116" s="419" t="s">
        <v>413</v>
      </c>
      <c r="G116" s="419" t="s">
        <v>413</v>
      </c>
    </row>
    <row r="117" spans="1:7" s="13" customFormat="1" x14ac:dyDescent="0.25">
      <c r="A117" s="525"/>
      <c r="B117" s="526"/>
      <c r="C117" s="527" t="s">
        <v>202</v>
      </c>
      <c r="D117" s="528"/>
      <c r="E117" s="29"/>
      <c r="F117" s="334">
        <v>6005</v>
      </c>
      <c r="G117" s="334">
        <v>6005</v>
      </c>
    </row>
    <row r="118" spans="1:7" s="13" customFormat="1" x14ac:dyDescent="0.25">
      <c r="A118" s="525"/>
      <c r="B118" s="526"/>
      <c r="C118" s="527" t="s">
        <v>112</v>
      </c>
      <c r="D118" s="528"/>
      <c r="E118" s="29"/>
      <c r="F118" s="334" t="s">
        <v>414</v>
      </c>
      <c r="G118" s="334" t="s">
        <v>414</v>
      </c>
    </row>
    <row r="119" spans="1:7" s="13" customFormat="1" x14ac:dyDescent="0.25">
      <c r="A119" s="525"/>
      <c r="B119" s="526"/>
      <c r="C119" s="527" t="s">
        <v>113</v>
      </c>
      <c r="D119" s="528"/>
      <c r="E119" s="29"/>
      <c r="F119" s="419" t="s">
        <v>415</v>
      </c>
      <c r="G119" s="419" t="s">
        <v>415</v>
      </c>
    </row>
    <row r="120" spans="1:7" s="13" customFormat="1" x14ac:dyDescent="0.25">
      <c r="A120" s="525"/>
      <c r="B120" s="526"/>
      <c r="C120" s="527" t="s">
        <v>114</v>
      </c>
      <c r="D120" s="528"/>
      <c r="E120" s="29"/>
      <c r="F120" s="419" t="s">
        <v>416</v>
      </c>
      <c r="G120" s="419" t="s">
        <v>416</v>
      </c>
    </row>
    <row r="121" spans="1:7" s="13" customFormat="1" ht="13.5" thickBot="1" x14ac:dyDescent="0.3">
      <c r="A121" s="518"/>
      <c r="B121" s="520"/>
      <c r="C121" s="515" t="s">
        <v>115</v>
      </c>
      <c r="D121" s="516"/>
      <c r="E121" s="29"/>
      <c r="F121" s="343" t="s">
        <v>415</v>
      </c>
      <c r="G121" s="343" t="s">
        <v>415</v>
      </c>
    </row>
    <row r="122" spans="1:7" s="13" customFormat="1" ht="143.44999999999999" customHeight="1" thickBot="1" x14ac:dyDescent="0.3">
      <c r="A122" s="51" t="s">
        <v>86</v>
      </c>
      <c r="B122" s="17" t="s">
        <v>143</v>
      </c>
      <c r="C122" s="543" t="s">
        <v>104</v>
      </c>
      <c r="D122" s="544"/>
      <c r="E122" s="29"/>
      <c r="F122" s="367" t="s">
        <v>417</v>
      </c>
      <c r="G122" s="367" t="s">
        <v>417</v>
      </c>
    </row>
    <row r="123" spans="1:7" ht="167.1" customHeight="1" thickBot="1" x14ac:dyDescent="0.25">
      <c r="A123" s="47" t="s">
        <v>85</v>
      </c>
      <c r="B123" s="14" t="s">
        <v>170</v>
      </c>
      <c r="C123" s="543" t="s">
        <v>104</v>
      </c>
      <c r="D123" s="544"/>
      <c r="E123" s="29"/>
      <c r="F123" s="373" t="s">
        <v>418</v>
      </c>
      <c r="G123" s="373" t="s">
        <v>418</v>
      </c>
    </row>
    <row r="124" spans="1:7" x14ac:dyDescent="0.2">
      <c r="A124" s="517" t="s">
        <v>13</v>
      </c>
      <c r="B124" s="519" t="s">
        <v>98</v>
      </c>
      <c r="C124" s="521" t="s">
        <v>30</v>
      </c>
      <c r="D124" s="522"/>
      <c r="E124" s="29"/>
      <c r="F124" s="367" t="s">
        <v>419</v>
      </c>
      <c r="G124" s="367" t="s">
        <v>419</v>
      </c>
    </row>
    <row r="125" spans="1:7" ht="29.45" customHeight="1" thickBot="1" x14ac:dyDescent="0.25">
      <c r="A125" s="518"/>
      <c r="B125" s="520"/>
      <c r="C125" s="515" t="s">
        <v>109</v>
      </c>
      <c r="D125" s="516"/>
      <c r="E125" s="29"/>
      <c r="F125" s="343" t="s">
        <v>359</v>
      </c>
      <c r="G125" s="343" t="s">
        <v>359</v>
      </c>
    </row>
    <row r="126" spans="1:7" ht="65.45" customHeight="1" thickBot="1" x14ac:dyDescent="0.25">
      <c r="A126" s="47" t="s">
        <v>37</v>
      </c>
      <c r="B126" s="25" t="s">
        <v>135</v>
      </c>
      <c r="C126" s="531"/>
      <c r="D126" s="532"/>
      <c r="E126" s="30"/>
      <c r="F126" s="373" t="s">
        <v>375</v>
      </c>
      <c r="G126" s="373" t="s">
        <v>375</v>
      </c>
    </row>
    <row r="127" spans="1:7" ht="41.1" customHeight="1" thickBot="1" x14ac:dyDescent="0.25">
      <c r="A127" s="47" t="s">
        <v>38</v>
      </c>
      <c r="B127" s="25" t="s">
        <v>87</v>
      </c>
      <c r="C127" s="531"/>
      <c r="D127" s="532"/>
      <c r="E127" s="30"/>
      <c r="F127" s="373"/>
      <c r="G127" s="373"/>
    </row>
    <row r="128" spans="1:7" ht="15.95" customHeight="1" thickBot="1" x14ac:dyDescent="0.25">
      <c r="A128" s="47" t="s">
        <v>201</v>
      </c>
      <c r="B128" s="25" t="s">
        <v>200</v>
      </c>
      <c r="C128" s="543"/>
      <c r="D128" s="544"/>
      <c r="E128" s="29"/>
      <c r="F128" s="373"/>
      <c r="G128" s="373"/>
    </row>
    <row r="129" spans="1:7" ht="27" customHeight="1" thickBot="1" x14ac:dyDescent="0.25">
      <c r="A129" s="47" t="s">
        <v>39</v>
      </c>
      <c r="B129" s="25" t="s">
        <v>106</v>
      </c>
      <c r="C129" s="543" t="s">
        <v>105</v>
      </c>
      <c r="D129" s="544"/>
      <c r="E129" s="29"/>
      <c r="F129" s="373" t="s">
        <v>323</v>
      </c>
      <c r="G129" s="373" t="s">
        <v>323</v>
      </c>
    </row>
    <row r="130" spans="1:7" x14ac:dyDescent="0.2">
      <c r="A130" s="517" t="s">
        <v>88</v>
      </c>
      <c r="B130" s="519" t="s">
        <v>148</v>
      </c>
      <c r="C130" s="521" t="s">
        <v>100</v>
      </c>
      <c r="D130" s="522"/>
      <c r="E130" s="29"/>
      <c r="F130" s="367" t="s">
        <v>420</v>
      </c>
      <c r="G130" s="367" t="s">
        <v>420</v>
      </c>
    </row>
    <row r="131" spans="1:7" ht="108" customHeight="1" thickBot="1" x14ac:dyDescent="0.25">
      <c r="A131" s="518"/>
      <c r="B131" s="520"/>
      <c r="C131" s="515" t="s">
        <v>110</v>
      </c>
      <c r="D131" s="516"/>
      <c r="E131" s="29"/>
      <c r="F131" s="424" t="s">
        <v>435</v>
      </c>
      <c r="G131" s="424" t="s">
        <v>435</v>
      </c>
    </row>
    <row r="132" spans="1:7" ht="28.5" customHeight="1" thickBot="1" x14ac:dyDescent="0.25">
      <c r="A132" s="47" t="s">
        <v>40</v>
      </c>
      <c r="B132" s="25" t="s">
        <v>137</v>
      </c>
      <c r="C132" s="543" t="s">
        <v>100</v>
      </c>
      <c r="D132" s="544"/>
      <c r="E132" s="29"/>
      <c r="F132" s="343" t="s">
        <v>360</v>
      </c>
      <c r="G132" s="343" t="s">
        <v>360</v>
      </c>
    </row>
    <row r="133" spans="1:7" ht="51.95" customHeight="1" thickBot="1" x14ac:dyDescent="0.25">
      <c r="A133" s="47" t="s">
        <v>14</v>
      </c>
      <c r="B133" s="25" t="s">
        <v>138</v>
      </c>
      <c r="C133" s="543" t="s">
        <v>139</v>
      </c>
      <c r="D133" s="544"/>
      <c r="E133" s="29"/>
      <c r="F133" s="373">
        <v>2</v>
      </c>
      <c r="G133" s="373">
        <v>2</v>
      </c>
    </row>
    <row r="134" spans="1:7" ht="67.5" customHeight="1" thickBot="1" x14ac:dyDescent="0.25">
      <c r="A134" s="47" t="s">
        <v>91</v>
      </c>
      <c r="B134" s="25" t="s">
        <v>144</v>
      </c>
      <c r="C134" s="543" t="s">
        <v>100</v>
      </c>
      <c r="D134" s="544"/>
      <c r="E134" s="29"/>
      <c r="F134" s="373" t="s">
        <v>361</v>
      </c>
      <c r="G134" s="373" t="s">
        <v>361</v>
      </c>
    </row>
    <row r="135" spans="1:7" ht="68.45" customHeight="1" thickBot="1" x14ac:dyDescent="0.25">
      <c r="A135" s="47" t="s">
        <v>92</v>
      </c>
      <c r="B135" s="25" t="s">
        <v>145</v>
      </c>
      <c r="C135" s="531"/>
      <c r="D135" s="532"/>
      <c r="E135" s="30"/>
      <c r="F135" s="373"/>
      <c r="G135" s="373"/>
    </row>
  </sheetData>
  <sheetProtection algorithmName="SHA-512" hashValue="UCvmMhttZ8ZUjIViUtx92s/mYC5LRxhpsjp1fGEqgV0tAPra607S0A+WVtM2vw9lwN2LrI5d0rz6y850CaY6OA==" saltValue="Lu98+65GZFlZF671wlscwg==" spinCount="100000" sheet="1" objects="1" scenarios="1"/>
  <dataConsolidate/>
  <mergeCells count="159">
    <mergeCell ref="F6:G6"/>
    <mergeCell ref="F19:G19"/>
    <mergeCell ref="F24:G24"/>
    <mergeCell ref="F82:G82"/>
    <mergeCell ref="F104:G104"/>
    <mergeCell ref="A130:A131"/>
    <mergeCell ref="B130:B131"/>
    <mergeCell ref="C130:D130"/>
    <mergeCell ref="C131:D131"/>
    <mergeCell ref="C121:D121"/>
    <mergeCell ref="A124:A125"/>
    <mergeCell ref="B124:B125"/>
    <mergeCell ref="A114:A121"/>
    <mergeCell ref="B114:B121"/>
    <mergeCell ref="C114:D114"/>
    <mergeCell ref="C115:D115"/>
    <mergeCell ref="C116:D116"/>
    <mergeCell ref="A102:D102"/>
    <mergeCell ref="A104:D104"/>
    <mergeCell ref="C105:D105"/>
    <mergeCell ref="C106:D106"/>
    <mergeCell ref="C107:D107"/>
    <mergeCell ref="C122:D122"/>
    <mergeCell ref="C117:D117"/>
    <mergeCell ref="C132:D132"/>
    <mergeCell ref="C133:D133"/>
    <mergeCell ref="C134:D134"/>
    <mergeCell ref="C135:D135"/>
    <mergeCell ref="C126:D126"/>
    <mergeCell ref="C127:D127"/>
    <mergeCell ref="C128:D128"/>
    <mergeCell ref="C129:D129"/>
    <mergeCell ref="C123:D123"/>
    <mergeCell ref="C124:D124"/>
    <mergeCell ref="C125:D125"/>
    <mergeCell ref="C118:D118"/>
    <mergeCell ref="C119:D119"/>
    <mergeCell ref="C120:D120"/>
    <mergeCell ref="C108:D108"/>
    <mergeCell ref="C109:D109"/>
    <mergeCell ref="A110:A113"/>
    <mergeCell ref="B110:B113"/>
    <mergeCell ref="C110:D110"/>
    <mergeCell ref="C111:D111"/>
    <mergeCell ref="C112:D112"/>
    <mergeCell ref="C113:D113"/>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44:D44"/>
    <mergeCell ref="A45:A52"/>
    <mergeCell ref="B45:B52"/>
    <mergeCell ref="C45:D45"/>
    <mergeCell ref="C46:D46"/>
    <mergeCell ref="C47:D47"/>
    <mergeCell ref="C48:D48"/>
    <mergeCell ref="C49:D49"/>
    <mergeCell ref="C50:D50"/>
    <mergeCell ref="C51:D51"/>
    <mergeCell ref="A24:D24"/>
    <mergeCell ref="C25:D25"/>
    <mergeCell ref="C26:D26"/>
    <mergeCell ref="C27:D27"/>
    <mergeCell ref="C28:D28"/>
    <mergeCell ref="C29:D29"/>
    <mergeCell ref="A30:A34"/>
    <mergeCell ref="B30:B34"/>
    <mergeCell ref="C30:D30"/>
    <mergeCell ref="C31:D31"/>
    <mergeCell ref="C32:D32"/>
    <mergeCell ref="C33:D33"/>
    <mergeCell ref="C34:D34"/>
    <mergeCell ref="A38:A39"/>
    <mergeCell ref="B38:B39"/>
    <mergeCell ref="C38:D38"/>
    <mergeCell ref="C39:D39"/>
    <mergeCell ref="C40:D40"/>
    <mergeCell ref="B41:B43"/>
    <mergeCell ref="C41:D41"/>
    <mergeCell ref="C42:D42"/>
    <mergeCell ref="C43:D43"/>
    <mergeCell ref="A41:A43"/>
    <mergeCell ref="A3:D3"/>
    <mergeCell ref="A4:D4"/>
    <mergeCell ref="A6:D6"/>
    <mergeCell ref="B8:D8"/>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 ref="A19:D19"/>
  </mergeCells>
  <conditionalFormatting sqref="C56 C65">
    <cfRule type="expression" dxfId="110" priority="227">
      <formula>#REF!="NO"</formula>
    </cfRule>
  </conditionalFormatting>
  <conditionalFormatting sqref="C41:D43">
    <cfRule type="expression" dxfId="109" priority="214">
      <formula>$F$2="NO"</formula>
    </cfRule>
  </conditionalFormatting>
  <conditionalFormatting sqref="C26:E40">
    <cfRule type="expression" dxfId="108" priority="216">
      <formula>#REF!="NO"</formula>
    </cfRule>
  </conditionalFormatting>
  <conditionalFormatting sqref="C44:E80">
    <cfRule type="expression" dxfId="107" priority="213">
      <formula>#REF!="NO"</formula>
    </cfRule>
  </conditionalFormatting>
  <conditionalFormatting sqref="C106:G135">
    <cfRule type="expression" dxfId="106" priority="7">
      <formula>#REF!="NO"</formula>
    </cfRule>
  </conditionalFormatting>
  <conditionalFormatting sqref="E41:E43">
    <cfRule type="expression" dxfId="105" priority="215">
      <formula>#REF!="NO"</formula>
    </cfRule>
  </conditionalFormatting>
  <conditionalFormatting sqref="E84:G102">
    <cfRule type="expression" dxfId="104" priority="1">
      <formula>#REF!="NO"</formula>
    </cfRule>
  </conditionalFormatting>
  <conditionalFormatting sqref="F8:F17">
    <cfRule type="expression" dxfId="103" priority="208">
      <formula>#REF!="NO"</formula>
    </cfRule>
  </conditionalFormatting>
  <conditionalFormatting sqref="F26:F80">
    <cfRule type="expression" dxfId="102" priority="192">
      <formula>#REF!="NO"</formula>
    </cfRule>
  </conditionalFormatting>
  <conditionalFormatting sqref="F21:G22">
    <cfRule type="expression" dxfId="101" priority="83">
      <formula>#REF!="NO"</formula>
    </cfRule>
  </conditionalFormatting>
  <conditionalFormatting sqref="G8:G17">
    <cfRule type="expression" dxfId="100" priority="88">
      <formula>$F$2="NO"</formula>
    </cfRule>
  </conditionalFormatting>
  <conditionalFormatting sqref="G21">
    <cfRule type="expression" dxfId="99" priority="86">
      <formula>$F$2="NO"</formula>
    </cfRule>
  </conditionalFormatting>
  <conditionalFormatting sqref="G26:G80">
    <cfRule type="expression" dxfId="98" priority="21">
      <formula>$F$2="NO"</formula>
    </cfRule>
  </conditionalFormatting>
  <conditionalFormatting sqref="G56:G57">
    <cfRule type="expression" dxfId="97" priority="27">
      <formula>#REF!="NO"</formula>
    </cfRule>
  </conditionalFormatting>
  <conditionalFormatting sqref="G65">
    <cfRule type="expression" dxfId="96" priority="32">
      <formula>#REF!="NO"</formula>
    </cfRule>
  </conditionalFormatting>
  <dataValidations count="3">
    <dataValidation type="decimal" allowBlank="1" showInputMessage="1" showErrorMessage="1" error="The Additional Options NYS Discount entered must be greater than 0%, or less than or equal to 100%." sqref="F22:G22" xr:uid="{00000000-0002-0000-0300-000002000000}">
      <formula1>0.01</formula1>
      <formula2>100</formula2>
    </dataValidation>
    <dataValidation type="decimal" allowBlank="1" showInputMessage="1" showErrorMessage="1" error="Invalid Entry - Bidder must enter a value that is greater than $0" sqref="F21:G21" xr:uid="{00000000-0002-0000-0300-000001000000}">
      <formula1>0</formula1>
      <formula2>9E+21</formula2>
    </dataValidation>
    <dataValidation type="decimal" operator="greaterThanOrEqual" allowBlank="1" showInputMessage="1" showErrorMessage="1" error="The Pickup Allowance cannot be a negative number." sqref="F16:G16" xr:uid="{00000000-0002-0000-0300-000000000000}">
      <formula1>0</formula1>
    </dataValidation>
  </dataValidations>
  <pageMargins left="0.25" right="0.25" top="0.5" bottom="0.25" header="0.3" footer="0.3"/>
  <pageSetup scale="81" fitToHeight="0" orientation="landscape" r:id="rId1"/>
  <rowBreaks count="2" manualBreakCount="2">
    <brk id="57" max="6" man="1"/>
    <brk id="123"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tabColor theme="5" tint="0.39997558519241921"/>
    <pageSetUpPr autoPageBreaks="0" fitToPage="1"/>
  </sheetPr>
  <dimension ref="A1:G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385" customWidth="1"/>
    <col min="7" max="7" width="21.28515625" style="301"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303"/>
    </row>
    <row r="3" spans="1:7" ht="24" thickBot="1" x14ac:dyDescent="0.25">
      <c r="A3" s="744" t="s">
        <v>270</v>
      </c>
      <c r="B3" s="745"/>
      <c r="C3" s="745"/>
      <c r="D3" s="746"/>
      <c r="E3" s="8"/>
      <c r="F3" s="304"/>
      <c r="G3" s="304"/>
    </row>
    <row r="4" spans="1:7" ht="51" customHeight="1" thickBot="1" x14ac:dyDescent="0.25">
      <c r="A4" s="506" t="s">
        <v>269</v>
      </c>
      <c r="B4" s="507"/>
      <c r="C4" s="507"/>
      <c r="D4" s="508"/>
      <c r="E4" s="8"/>
      <c r="F4" s="304"/>
      <c r="G4" s="304"/>
    </row>
    <row r="5" spans="1:7" s="4" customFormat="1" ht="11.25" customHeight="1" thickBot="1" x14ac:dyDescent="0.3">
      <c r="A5" s="411"/>
      <c r="B5" s="411"/>
      <c r="C5" s="411"/>
      <c r="D5" s="411"/>
      <c r="E5" s="411"/>
      <c r="F5" s="413"/>
      <c r="G5" s="286"/>
    </row>
    <row r="6" spans="1:7" s="7" customFormat="1" ht="16.5" thickBot="1" x14ac:dyDescent="0.25">
      <c r="A6" s="509" t="s">
        <v>151</v>
      </c>
      <c r="B6" s="510"/>
      <c r="C6" s="510"/>
      <c r="D6" s="511"/>
      <c r="E6" s="31"/>
      <c r="F6" s="573" t="s">
        <v>389</v>
      </c>
      <c r="G6" s="574"/>
    </row>
    <row r="7" spans="1:7" s="4" customFormat="1" ht="15" customHeight="1" thickBot="1" x14ac:dyDescent="0.3">
      <c r="A7" s="37" t="s">
        <v>6</v>
      </c>
      <c r="B7" s="22" t="s">
        <v>165</v>
      </c>
      <c r="C7" s="27"/>
      <c r="D7" s="35"/>
      <c r="E7" s="32"/>
      <c r="F7" s="415" t="s">
        <v>19</v>
      </c>
      <c r="G7" s="415" t="s">
        <v>429</v>
      </c>
    </row>
    <row r="8" spans="1:7" ht="65.25" thickTop="1" thickBot="1" x14ac:dyDescent="0.25">
      <c r="A8" s="38" t="s">
        <v>9</v>
      </c>
      <c r="B8" s="500" t="s">
        <v>152</v>
      </c>
      <c r="C8" s="501"/>
      <c r="D8" s="502"/>
      <c r="E8" s="13"/>
      <c r="F8" s="443" t="s">
        <v>390</v>
      </c>
      <c r="G8" s="444" t="s">
        <v>431</v>
      </c>
    </row>
    <row r="9" spans="1:7" s="7" customFormat="1" ht="44.25" customHeight="1" thickTop="1" thickBot="1" x14ac:dyDescent="0.25">
      <c r="A9" s="38" t="s">
        <v>136</v>
      </c>
      <c r="B9" s="500" t="s">
        <v>191</v>
      </c>
      <c r="C9" s="501"/>
      <c r="D9" s="502"/>
      <c r="E9" s="13"/>
      <c r="F9" s="445" t="s">
        <v>436</v>
      </c>
      <c r="G9" s="446" t="s">
        <v>436</v>
      </c>
    </row>
    <row r="10" spans="1:7" ht="12.75" customHeight="1" thickTop="1" x14ac:dyDescent="0.2">
      <c r="A10" s="39" t="s">
        <v>0</v>
      </c>
      <c r="B10" s="491" t="s">
        <v>154</v>
      </c>
      <c r="C10" s="492"/>
      <c r="D10" s="493"/>
      <c r="E10" s="13"/>
      <c r="F10" s="399" t="s">
        <v>392</v>
      </c>
      <c r="G10" s="447" t="s">
        <v>392</v>
      </c>
    </row>
    <row r="11" spans="1:7" x14ac:dyDescent="0.2">
      <c r="A11" s="39" t="s">
        <v>1</v>
      </c>
      <c r="B11" s="491" t="s">
        <v>153</v>
      </c>
      <c r="C11" s="492"/>
      <c r="D11" s="493"/>
      <c r="E11" s="13"/>
      <c r="F11" s="399" t="s">
        <v>393</v>
      </c>
      <c r="G11" s="447" t="s">
        <v>393</v>
      </c>
    </row>
    <row r="12" spans="1:7" ht="14.1" customHeight="1" thickBot="1" x14ac:dyDescent="0.25">
      <c r="A12" s="40" t="s">
        <v>2</v>
      </c>
      <c r="B12" s="494" t="s">
        <v>155</v>
      </c>
      <c r="C12" s="495"/>
      <c r="D12" s="496"/>
      <c r="E12" s="13"/>
      <c r="F12" s="448" t="s">
        <v>394</v>
      </c>
      <c r="G12" s="449" t="s">
        <v>394</v>
      </c>
    </row>
    <row r="13" spans="1:7" ht="13.5" thickTop="1" x14ac:dyDescent="0.2">
      <c r="A13" s="39" t="s">
        <v>3</v>
      </c>
      <c r="B13" s="491" t="s">
        <v>157</v>
      </c>
      <c r="C13" s="492"/>
      <c r="D13" s="493"/>
      <c r="E13" s="13"/>
      <c r="F13" s="399" t="s">
        <v>334</v>
      </c>
      <c r="G13" s="447" t="s">
        <v>334</v>
      </c>
    </row>
    <row r="14" spans="1:7" x14ac:dyDescent="0.2">
      <c r="A14" s="39" t="s">
        <v>4</v>
      </c>
      <c r="B14" s="491" t="s">
        <v>156</v>
      </c>
      <c r="C14" s="492"/>
      <c r="D14" s="493"/>
      <c r="E14" s="13"/>
      <c r="F14" s="399" t="s">
        <v>395</v>
      </c>
      <c r="G14" s="447" t="s">
        <v>395</v>
      </c>
    </row>
    <row r="15" spans="1:7" ht="15.75" customHeight="1" thickBot="1" x14ac:dyDescent="0.25">
      <c r="A15" s="41" t="s">
        <v>5</v>
      </c>
      <c r="B15" s="494" t="s">
        <v>158</v>
      </c>
      <c r="C15" s="495"/>
      <c r="D15" s="496"/>
      <c r="E15" s="13"/>
      <c r="F15" s="443" t="s">
        <v>432</v>
      </c>
      <c r="G15" s="449" t="s">
        <v>432</v>
      </c>
    </row>
    <row r="16" spans="1:7" ht="29.25" customHeight="1" thickTop="1" x14ac:dyDescent="0.2">
      <c r="A16" s="39" t="s">
        <v>101</v>
      </c>
      <c r="B16" s="497" t="s">
        <v>160</v>
      </c>
      <c r="C16" s="498"/>
      <c r="D16" s="499"/>
      <c r="E16" s="13"/>
      <c r="F16" s="450">
        <v>100</v>
      </c>
      <c r="G16" s="451">
        <v>100</v>
      </c>
    </row>
    <row r="17" spans="1:7" ht="30.75" customHeight="1" thickBot="1" x14ac:dyDescent="0.25">
      <c r="A17" s="41" t="s">
        <v>43</v>
      </c>
      <c r="B17" s="494" t="s">
        <v>159</v>
      </c>
      <c r="C17" s="495"/>
      <c r="D17" s="496"/>
      <c r="E17" s="13"/>
      <c r="F17" s="443" t="s">
        <v>366</v>
      </c>
      <c r="G17" s="444" t="s">
        <v>366</v>
      </c>
    </row>
    <row r="18" spans="1:7" s="9" customFormat="1" ht="14.25" thickTop="1" thickBot="1" x14ac:dyDescent="0.25">
      <c r="C18" s="10"/>
      <c r="D18" s="10"/>
      <c r="E18" s="10"/>
      <c r="F18" s="345"/>
      <c r="G18" s="345"/>
    </row>
    <row r="19" spans="1:7" s="11" customFormat="1" ht="16.5" thickBot="1" x14ac:dyDescent="0.25">
      <c r="A19" s="509" t="s">
        <v>150</v>
      </c>
      <c r="B19" s="510"/>
      <c r="C19" s="510"/>
      <c r="D19" s="511"/>
      <c r="E19" s="31"/>
      <c r="F19" s="573" t="s">
        <v>389</v>
      </c>
      <c r="G19" s="574"/>
    </row>
    <row r="20" spans="1:7" s="4" customFormat="1" ht="15" customHeight="1" thickBot="1" x14ac:dyDescent="0.3">
      <c r="A20" s="52" t="s">
        <v>6</v>
      </c>
      <c r="B20" s="26" t="s">
        <v>165</v>
      </c>
      <c r="C20" s="28"/>
      <c r="D20" s="45"/>
      <c r="E20" s="32"/>
      <c r="F20" s="415" t="s">
        <v>19</v>
      </c>
      <c r="G20" s="415" t="s">
        <v>429</v>
      </c>
    </row>
    <row r="21" spans="1:7" ht="56.25" customHeight="1" x14ac:dyDescent="0.2">
      <c r="A21" s="42" t="s">
        <v>42</v>
      </c>
      <c r="B21" s="512" t="s">
        <v>161</v>
      </c>
      <c r="C21" s="513"/>
      <c r="D21" s="514"/>
      <c r="E21" s="13"/>
      <c r="F21" s="452">
        <f>135322.38*('PPI Adj'!D6)</f>
        <v>157921.21746000001</v>
      </c>
      <c r="G21" s="453">
        <f>176194.92*('PPI Adj'!D6)</f>
        <v>205619.47164000003</v>
      </c>
    </row>
    <row r="22" spans="1:7" ht="33" customHeight="1" thickBot="1" x14ac:dyDescent="0.25">
      <c r="A22" s="43" t="s">
        <v>41</v>
      </c>
      <c r="B22" s="533" t="s">
        <v>163</v>
      </c>
      <c r="C22" s="534"/>
      <c r="D22" s="535"/>
      <c r="E22" s="1"/>
      <c r="F22" s="454">
        <v>20</v>
      </c>
      <c r="G22" s="455">
        <v>20</v>
      </c>
    </row>
    <row r="23" spans="1:7" ht="13.5" thickBot="1" x14ac:dyDescent="0.25">
      <c r="A23" s="69"/>
      <c r="B23" s="1"/>
      <c r="C23" s="1"/>
      <c r="D23" s="1"/>
      <c r="E23" s="1"/>
      <c r="F23" s="418"/>
      <c r="G23" s="356"/>
    </row>
    <row r="24" spans="1:7" s="7" customFormat="1" ht="15.75" customHeight="1" thickBot="1" x14ac:dyDescent="0.25">
      <c r="A24" s="536" t="s">
        <v>164</v>
      </c>
      <c r="B24" s="537"/>
      <c r="C24" s="537"/>
      <c r="D24" s="538"/>
      <c r="E24" s="33"/>
      <c r="F24" s="573" t="s">
        <v>389</v>
      </c>
      <c r="G24" s="574"/>
    </row>
    <row r="25" spans="1:7" s="3" customFormat="1" ht="15" customHeight="1" thickBot="1" x14ac:dyDescent="0.3">
      <c r="A25" s="52" t="s">
        <v>6</v>
      </c>
      <c r="B25" s="53" t="s">
        <v>7</v>
      </c>
      <c r="C25" s="539" t="s">
        <v>165</v>
      </c>
      <c r="D25" s="540"/>
      <c r="E25" s="34"/>
      <c r="F25" s="415" t="s">
        <v>19</v>
      </c>
      <c r="G25" s="415" t="s">
        <v>429</v>
      </c>
    </row>
    <row r="26" spans="1:7" s="13" customFormat="1" ht="79.5" customHeight="1" thickBot="1" x14ac:dyDescent="0.3">
      <c r="A26" s="46" t="s">
        <v>8</v>
      </c>
      <c r="B26" s="24" t="s">
        <v>257</v>
      </c>
      <c r="C26" s="515" t="s">
        <v>118</v>
      </c>
      <c r="D26" s="516"/>
      <c r="E26" s="29"/>
      <c r="F26" s="393">
        <v>29000</v>
      </c>
      <c r="G26" s="456">
        <v>29000</v>
      </c>
    </row>
    <row r="27" spans="1:7" s="13" customFormat="1" x14ac:dyDescent="0.25">
      <c r="A27" s="517" t="s">
        <v>21</v>
      </c>
      <c r="B27" s="519" t="s">
        <v>268</v>
      </c>
      <c r="C27" s="521" t="s">
        <v>67</v>
      </c>
      <c r="D27" s="522"/>
      <c r="E27" s="29"/>
      <c r="F27" s="397">
        <v>11</v>
      </c>
      <c r="G27" s="457">
        <v>11</v>
      </c>
    </row>
    <row r="28" spans="1:7" s="13" customFormat="1" ht="13.5" thickBot="1" x14ac:dyDescent="0.3">
      <c r="A28" s="518"/>
      <c r="B28" s="520"/>
      <c r="C28" s="515" t="s">
        <v>68</v>
      </c>
      <c r="D28" s="516"/>
      <c r="E28" s="29"/>
      <c r="F28" s="393">
        <v>64</v>
      </c>
      <c r="G28" s="456">
        <v>64</v>
      </c>
    </row>
    <row r="29" spans="1:7" s="13" customFormat="1" ht="13.5" thickBot="1" x14ac:dyDescent="0.3">
      <c r="A29" s="47" t="s">
        <v>123</v>
      </c>
      <c r="B29" s="25" t="s">
        <v>108</v>
      </c>
      <c r="C29" s="531"/>
      <c r="D29" s="532"/>
      <c r="E29" s="30"/>
      <c r="F29" s="395"/>
      <c r="G29" s="458"/>
    </row>
    <row r="30" spans="1:7" s="13" customFormat="1" x14ac:dyDescent="0.25">
      <c r="A30" s="517" t="s">
        <v>59</v>
      </c>
      <c r="B30" s="519"/>
      <c r="C30" s="521" t="s">
        <v>58</v>
      </c>
      <c r="D30" s="522"/>
      <c r="E30" s="29"/>
      <c r="F30" s="397">
        <v>238</v>
      </c>
      <c r="G30" s="457">
        <v>238</v>
      </c>
    </row>
    <row r="31" spans="1:7" s="13" customFormat="1" x14ac:dyDescent="0.25">
      <c r="A31" s="525"/>
      <c r="B31" s="526"/>
      <c r="C31" s="527" t="s">
        <v>57</v>
      </c>
      <c r="D31" s="528"/>
      <c r="E31" s="29"/>
      <c r="F31" s="399">
        <v>419.7</v>
      </c>
      <c r="G31" s="447">
        <v>419.7</v>
      </c>
    </row>
    <row r="32" spans="1:7" s="13" customFormat="1" x14ac:dyDescent="0.25">
      <c r="A32" s="525"/>
      <c r="B32" s="526"/>
      <c r="C32" s="527" t="s">
        <v>69</v>
      </c>
      <c r="D32" s="528"/>
      <c r="E32" s="29"/>
      <c r="F32" s="399">
        <v>90</v>
      </c>
      <c r="G32" s="447">
        <v>90</v>
      </c>
    </row>
    <row r="33" spans="1:7" s="13" customFormat="1" x14ac:dyDescent="0.25">
      <c r="A33" s="525"/>
      <c r="B33" s="526"/>
      <c r="C33" s="529" t="s">
        <v>70</v>
      </c>
      <c r="D33" s="530"/>
      <c r="E33" s="29"/>
      <c r="F33" s="399">
        <v>78</v>
      </c>
      <c r="G33" s="447">
        <v>78</v>
      </c>
    </row>
    <row r="34" spans="1:7" s="13" customFormat="1" ht="13.5" thickBot="1" x14ac:dyDescent="0.3">
      <c r="A34" s="518"/>
      <c r="B34" s="520"/>
      <c r="C34" s="515" t="s">
        <v>111</v>
      </c>
      <c r="D34" s="516"/>
      <c r="E34" s="29"/>
      <c r="F34" s="393">
        <v>376</v>
      </c>
      <c r="G34" s="456">
        <v>376</v>
      </c>
    </row>
    <row r="35" spans="1:7" s="13" customFormat="1" ht="15.95" customHeight="1" thickBot="1" x14ac:dyDescent="0.3">
      <c r="A35" s="46" t="s">
        <v>224</v>
      </c>
      <c r="B35" s="25" t="s">
        <v>223</v>
      </c>
      <c r="C35" s="531"/>
      <c r="D35" s="532"/>
      <c r="E35" s="30"/>
      <c r="F35" s="395"/>
      <c r="G35" s="458"/>
    </row>
    <row r="36" spans="1:7" s="13" customFormat="1" x14ac:dyDescent="0.25">
      <c r="A36" s="517" t="s">
        <v>11</v>
      </c>
      <c r="B36" s="519"/>
      <c r="C36" s="521" t="s">
        <v>24</v>
      </c>
      <c r="D36" s="522"/>
      <c r="E36" s="29"/>
      <c r="F36" s="397">
        <v>10000</v>
      </c>
      <c r="G36" s="457">
        <v>10000</v>
      </c>
    </row>
    <row r="37" spans="1:7" s="13" customFormat="1" ht="13.5" thickBot="1" x14ac:dyDescent="0.3">
      <c r="A37" s="518"/>
      <c r="B37" s="520"/>
      <c r="C37" s="515" t="s">
        <v>22</v>
      </c>
      <c r="D37" s="516"/>
      <c r="E37" s="29"/>
      <c r="F37" s="393">
        <v>10000</v>
      </c>
      <c r="G37" s="456">
        <v>10000</v>
      </c>
    </row>
    <row r="38" spans="1:7" s="13" customFormat="1" x14ac:dyDescent="0.25">
      <c r="A38" s="517" t="s">
        <v>16</v>
      </c>
      <c r="B38" s="519"/>
      <c r="C38" s="521" t="s">
        <v>24</v>
      </c>
      <c r="D38" s="522"/>
      <c r="E38" s="29"/>
      <c r="F38" s="397">
        <v>19000</v>
      </c>
      <c r="G38" s="457">
        <v>19000</v>
      </c>
    </row>
    <row r="39" spans="1:7" s="13" customFormat="1" ht="13.5" thickBot="1" x14ac:dyDescent="0.3">
      <c r="A39" s="518"/>
      <c r="B39" s="520"/>
      <c r="C39" s="523" t="s">
        <v>23</v>
      </c>
      <c r="D39" s="524"/>
      <c r="E39" s="29"/>
      <c r="F39" s="393">
        <v>19000</v>
      </c>
      <c r="G39" s="456">
        <v>19000</v>
      </c>
    </row>
    <row r="40" spans="1:7" s="13" customFormat="1" ht="18.600000000000001" customHeight="1" thickBot="1" x14ac:dyDescent="0.3">
      <c r="A40" s="47" t="s">
        <v>52</v>
      </c>
      <c r="B40" s="25" t="s">
        <v>53</v>
      </c>
      <c r="C40" s="531"/>
      <c r="D40" s="532"/>
      <c r="E40" s="30"/>
      <c r="F40" s="395"/>
      <c r="G40" s="458"/>
    </row>
    <row r="41" spans="1:7" s="13" customFormat="1" x14ac:dyDescent="0.25">
      <c r="A41" s="517" t="s">
        <v>219</v>
      </c>
      <c r="B41" s="519" t="s">
        <v>222</v>
      </c>
      <c r="C41" s="521" t="s">
        <v>221</v>
      </c>
      <c r="D41" s="522"/>
      <c r="E41" s="29"/>
      <c r="F41" s="397" t="s">
        <v>424</v>
      </c>
      <c r="G41" s="457" t="s">
        <v>424</v>
      </c>
    </row>
    <row r="42" spans="1:7" s="13" customFormat="1" ht="14.45" customHeight="1" x14ac:dyDescent="0.25">
      <c r="A42" s="525"/>
      <c r="B42" s="526"/>
      <c r="C42" s="527" t="s">
        <v>220</v>
      </c>
      <c r="D42" s="528"/>
      <c r="E42" s="29"/>
      <c r="F42" s="399" t="s">
        <v>425</v>
      </c>
      <c r="G42" s="447" t="s">
        <v>425</v>
      </c>
    </row>
    <row r="43" spans="1:7" s="13" customFormat="1" ht="78.599999999999994" customHeight="1" thickBot="1" x14ac:dyDescent="0.3">
      <c r="A43" s="518"/>
      <c r="B43" s="526"/>
      <c r="C43" s="523"/>
      <c r="D43" s="524"/>
      <c r="E43" s="29"/>
      <c r="F43" s="459"/>
      <c r="G43" s="456"/>
    </row>
    <row r="44" spans="1:7" s="13" customFormat="1" ht="27.95" customHeight="1" thickBot="1" x14ac:dyDescent="0.3">
      <c r="A44" s="46" t="s">
        <v>219</v>
      </c>
      <c r="B44" s="25" t="s">
        <v>218</v>
      </c>
      <c r="C44" s="531"/>
      <c r="D44" s="532"/>
      <c r="E44" s="30"/>
      <c r="F44" s="395"/>
      <c r="G44" s="458"/>
    </row>
    <row r="45" spans="1:7" s="13" customFormat="1" ht="13.5" thickBot="1" x14ac:dyDescent="0.3">
      <c r="A45" s="517" t="s">
        <v>12</v>
      </c>
      <c r="B45" s="542" t="s">
        <v>142</v>
      </c>
      <c r="C45" s="521" t="s">
        <v>174</v>
      </c>
      <c r="D45" s="522"/>
      <c r="E45" s="29"/>
      <c r="F45" s="397" t="s">
        <v>398</v>
      </c>
      <c r="G45" s="457" t="s">
        <v>398</v>
      </c>
    </row>
    <row r="46" spans="1:7" s="13" customFormat="1" ht="13.5" thickBot="1" x14ac:dyDescent="0.3">
      <c r="A46" s="525"/>
      <c r="B46" s="542"/>
      <c r="C46" s="527" t="s">
        <v>175</v>
      </c>
      <c r="D46" s="528"/>
      <c r="E46" s="29"/>
      <c r="F46" s="399">
        <v>5675</v>
      </c>
      <c r="G46" s="447">
        <v>5675</v>
      </c>
    </row>
    <row r="47" spans="1:7" s="13" customFormat="1" ht="13.5" thickBot="1" x14ac:dyDescent="0.3">
      <c r="A47" s="525"/>
      <c r="B47" s="542"/>
      <c r="C47" s="527" t="s">
        <v>176</v>
      </c>
      <c r="D47" s="528"/>
      <c r="E47" s="29"/>
      <c r="F47" s="402" t="s">
        <v>398</v>
      </c>
      <c r="G47" s="460" t="s">
        <v>398</v>
      </c>
    </row>
    <row r="48" spans="1:7" s="13" customFormat="1" ht="13.5" thickBot="1" x14ac:dyDescent="0.3">
      <c r="A48" s="525"/>
      <c r="B48" s="542"/>
      <c r="C48" s="527" t="s">
        <v>177</v>
      </c>
      <c r="D48" s="528"/>
      <c r="E48" s="29"/>
      <c r="F48" s="399">
        <v>5355</v>
      </c>
      <c r="G48" s="447">
        <v>5355</v>
      </c>
    </row>
    <row r="49" spans="1:7" s="13" customFormat="1" ht="13.5" thickBot="1" x14ac:dyDescent="0.3">
      <c r="A49" s="525"/>
      <c r="B49" s="542"/>
      <c r="C49" s="527" t="s">
        <v>112</v>
      </c>
      <c r="D49" s="528"/>
      <c r="E49" s="29"/>
      <c r="F49" s="399" t="s">
        <v>399</v>
      </c>
      <c r="G49" s="447" t="s">
        <v>399</v>
      </c>
    </row>
    <row r="50" spans="1:7" s="13" customFormat="1" ht="13.5" thickBot="1" x14ac:dyDescent="0.3">
      <c r="A50" s="525"/>
      <c r="B50" s="542"/>
      <c r="C50" s="527" t="s">
        <v>113</v>
      </c>
      <c r="D50" s="528"/>
      <c r="E50" s="29"/>
      <c r="F50" s="399" t="s">
        <v>400</v>
      </c>
      <c r="G50" s="447" t="s">
        <v>400</v>
      </c>
    </row>
    <row r="51" spans="1:7" s="13" customFormat="1" ht="13.5" thickBot="1" x14ac:dyDescent="0.3">
      <c r="A51" s="525"/>
      <c r="B51" s="542"/>
      <c r="C51" s="529" t="s">
        <v>114</v>
      </c>
      <c r="D51" s="530"/>
      <c r="E51" s="29"/>
      <c r="F51" s="399" t="s">
        <v>401</v>
      </c>
      <c r="G51" s="447" t="s">
        <v>401</v>
      </c>
    </row>
    <row r="52" spans="1:7" s="13" customFormat="1" ht="15.95" customHeight="1" thickBot="1" x14ac:dyDescent="0.3">
      <c r="A52" s="518"/>
      <c r="B52" s="542"/>
      <c r="C52" s="515" t="s">
        <v>115</v>
      </c>
      <c r="D52" s="516"/>
      <c r="E52" s="29"/>
      <c r="F52" s="393" t="s">
        <v>400</v>
      </c>
      <c r="G52" s="456" t="s">
        <v>400</v>
      </c>
    </row>
    <row r="53" spans="1:7" s="13" customFormat="1" x14ac:dyDescent="0.25">
      <c r="A53" s="517" t="s">
        <v>10</v>
      </c>
      <c r="B53" s="519" t="s">
        <v>217</v>
      </c>
      <c r="C53" s="521" t="s">
        <v>116</v>
      </c>
      <c r="D53" s="522"/>
      <c r="E53" s="29"/>
      <c r="F53" s="397">
        <v>6</v>
      </c>
      <c r="G53" s="457">
        <v>6</v>
      </c>
    </row>
    <row r="54" spans="1:7" s="13" customFormat="1" x14ac:dyDescent="0.25">
      <c r="A54" s="525"/>
      <c r="B54" s="526"/>
      <c r="C54" s="527" t="s">
        <v>117</v>
      </c>
      <c r="D54" s="528"/>
      <c r="E54" s="29"/>
      <c r="F54" s="399" t="s">
        <v>341</v>
      </c>
      <c r="G54" s="447" t="s">
        <v>341</v>
      </c>
    </row>
    <row r="55" spans="1:7" s="13" customFormat="1" ht="13.5" thickBot="1" x14ac:dyDescent="0.3">
      <c r="A55" s="518"/>
      <c r="B55" s="526"/>
      <c r="C55" s="523" t="s">
        <v>71</v>
      </c>
      <c r="D55" s="524"/>
      <c r="E55" s="29"/>
      <c r="F55" s="459" t="s">
        <v>402</v>
      </c>
      <c r="G55" s="461" t="s">
        <v>402</v>
      </c>
    </row>
    <row r="56" spans="1:7" s="13" customFormat="1" ht="78.599999999999994" customHeight="1" thickBot="1" x14ac:dyDescent="0.3">
      <c r="A56" s="48" t="s">
        <v>9</v>
      </c>
      <c r="B56" s="23" t="s">
        <v>254</v>
      </c>
      <c r="C56" s="529"/>
      <c r="D56" s="530"/>
      <c r="E56" s="29"/>
      <c r="F56" s="397"/>
      <c r="G56" s="457"/>
    </row>
    <row r="57" spans="1:7" s="13" customFormat="1" ht="29.45" customHeight="1" thickBot="1" x14ac:dyDescent="0.3">
      <c r="A57" s="48" t="s">
        <v>253</v>
      </c>
      <c r="B57" s="23" t="s">
        <v>252</v>
      </c>
      <c r="C57" s="531"/>
      <c r="D57" s="532"/>
      <c r="E57" s="30"/>
      <c r="F57" s="462"/>
      <c r="G57" s="458"/>
    </row>
    <row r="58" spans="1:7" s="13" customFormat="1" ht="25.5" x14ac:dyDescent="0.25">
      <c r="A58" s="517" t="s">
        <v>25</v>
      </c>
      <c r="B58" s="519" t="s">
        <v>93</v>
      </c>
      <c r="C58" s="521" t="s">
        <v>72</v>
      </c>
      <c r="D58" s="522"/>
      <c r="E58" s="29"/>
      <c r="F58" s="397" t="s">
        <v>403</v>
      </c>
      <c r="G58" s="457" t="s">
        <v>403</v>
      </c>
    </row>
    <row r="59" spans="1:7" s="13" customFormat="1" ht="54" customHeight="1" thickBot="1" x14ac:dyDescent="0.3">
      <c r="A59" s="518"/>
      <c r="B59" s="520"/>
      <c r="C59" s="515" t="s">
        <v>73</v>
      </c>
      <c r="D59" s="516"/>
      <c r="E59" s="29"/>
      <c r="F59" s="393">
        <v>185</v>
      </c>
      <c r="G59" s="456">
        <v>185</v>
      </c>
    </row>
    <row r="60" spans="1:7" s="13" customFormat="1" x14ac:dyDescent="0.25">
      <c r="A60" s="517" t="s">
        <v>26</v>
      </c>
      <c r="B60" s="519" t="s">
        <v>251</v>
      </c>
      <c r="C60" s="521" t="s">
        <v>74</v>
      </c>
      <c r="D60" s="522"/>
      <c r="E60" s="29"/>
      <c r="F60" s="397" t="s">
        <v>404</v>
      </c>
      <c r="G60" s="457" t="s">
        <v>404</v>
      </c>
    </row>
    <row r="61" spans="1:7" s="13" customFormat="1" x14ac:dyDescent="0.25">
      <c r="A61" s="525"/>
      <c r="B61" s="526"/>
      <c r="C61" s="527" t="s">
        <v>75</v>
      </c>
      <c r="D61" s="528"/>
      <c r="E61" s="29"/>
      <c r="F61" s="399">
        <v>3</v>
      </c>
      <c r="G61" s="447">
        <v>3</v>
      </c>
    </row>
    <row r="62" spans="1:7" s="13" customFormat="1" ht="29.1" customHeight="1" thickBot="1" x14ac:dyDescent="0.3">
      <c r="A62" s="518"/>
      <c r="B62" s="520"/>
      <c r="C62" s="515" t="s">
        <v>250</v>
      </c>
      <c r="D62" s="516"/>
      <c r="E62" s="29"/>
      <c r="F62" s="393" t="s">
        <v>405</v>
      </c>
      <c r="G62" s="456" t="s">
        <v>405</v>
      </c>
    </row>
    <row r="63" spans="1:7" s="13" customFormat="1" ht="17.45" customHeight="1" thickBot="1" x14ac:dyDescent="0.3">
      <c r="A63" s="47" t="s">
        <v>44</v>
      </c>
      <c r="B63" s="25" t="s">
        <v>45</v>
      </c>
      <c r="C63" s="531"/>
      <c r="D63" s="532"/>
      <c r="E63" s="30"/>
      <c r="F63" s="462"/>
      <c r="G63" s="463"/>
    </row>
    <row r="64" spans="1:7" s="13" customFormat="1" ht="28.5" customHeight="1" thickBot="1" x14ac:dyDescent="0.3">
      <c r="A64" s="47" t="s">
        <v>44</v>
      </c>
      <c r="B64" s="25" t="s">
        <v>63</v>
      </c>
      <c r="C64" s="531"/>
      <c r="D64" s="532"/>
      <c r="E64" s="30"/>
      <c r="F64" s="462"/>
      <c r="G64" s="463"/>
    </row>
    <row r="65" spans="1:7" s="13" customFormat="1" ht="28.5" customHeight="1" thickBot="1" x14ac:dyDescent="0.3">
      <c r="A65" s="47" t="s">
        <v>44</v>
      </c>
      <c r="B65" s="25" t="s">
        <v>64</v>
      </c>
      <c r="C65" s="531"/>
      <c r="D65" s="532"/>
      <c r="E65" s="30"/>
      <c r="F65" s="462"/>
      <c r="G65" s="463"/>
    </row>
    <row r="66" spans="1:7" s="13" customFormat="1" ht="27.95" customHeight="1" thickBot="1" x14ac:dyDescent="0.3">
      <c r="A66" s="47" t="s">
        <v>50</v>
      </c>
      <c r="B66" s="25" t="s">
        <v>216</v>
      </c>
      <c r="C66" s="531"/>
      <c r="D66" s="532"/>
      <c r="E66" s="30"/>
      <c r="F66" s="462"/>
      <c r="G66" s="463"/>
    </row>
    <row r="67" spans="1:7" s="13" customFormat="1" ht="15.6" customHeight="1" thickBot="1" x14ac:dyDescent="0.3">
      <c r="A67" s="47" t="s">
        <v>27</v>
      </c>
      <c r="B67" s="25" t="s">
        <v>215</v>
      </c>
      <c r="C67" s="543" t="s">
        <v>77</v>
      </c>
      <c r="D67" s="544"/>
      <c r="E67" s="29"/>
      <c r="F67" s="395" t="s">
        <v>426</v>
      </c>
      <c r="G67" s="458" t="s">
        <v>426</v>
      </c>
    </row>
    <row r="68" spans="1:7" s="13" customFormat="1" ht="53.45" customHeight="1" thickBot="1" x14ac:dyDescent="0.3">
      <c r="A68" s="46" t="s">
        <v>214</v>
      </c>
      <c r="B68" s="25" t="s">
        <v>213</v>
      </c>
      <c r="C68" s="543"/>
      <c r="D68" s="544"/>
      <c r="E68" s="29"/>
      <c r="F68" s="395"/>
      <c r="G68" s="458"/>
    </row>
    <row r="69" spans="1:7" s="13" customFormat="1" ht="15" customHeight="1" x14ac:dyDescent="0.25">
      <c r="A69" s="517" t="s">
        <v>28</v>
      </c>
      <c r="B69" s="519" t="s">
        <v>264</v>
      </c>
      <c r="C69" s="749" t="s">
        <v>248</v>
      </c>
      <c r="D69" s="522"/>
      <c r="E69" s="29"/>
      <c r="F69" s="397">
        <v>60</v>
      </c>
      <c r="G69" s="434">
        <v>60</v>
      </c>
    </row>
    <row r="70" spans="1:7" s="13" customFormat="1" ht="39" thickBot="1" x14ac:dyDescent="0.3">
      <c r="A70" s="518"/>
      <c r="B70" s="520"/>
      <c r="C70" s="584" t="s">
        <v>247</v>
      </c>
      <c r="D70" s="516"/>
      <c r="E70" s="29"/>
      <c r="F70" s="393" t="s">
        <v>428</v>
      </c>
      <c r="G70" s="456" t="s">
        <v>437</v>
      </c>
    </row>
    <row r="71" spans="1:7" s="13" customFormat="1" ht="40.5" customHeight="1" thickBot="1" x14ac:dyDescent="0.3">
      <c r="A71" s="47" t="s">
        <v>51</v>
      </c>
      <c r="B71" s="25" t="s">
        <v>212</v>
      </c>
      <c r="C71" s="531"/>
      <c r="D71" s="532"/>
      <c r="E71" s="30"/>
      <c r="F71" s="395"/>
      <c r="G71" s="458"/>
    </row>
    <row r="72" spans="1:7" s="13" customFormat="1" ht="39.6" customHeight="1" thickBot="1" x14ac:dyDescent="0.3">
      <c r="A72" s="47" t="s">
        <v>54</v>
      </c>
      <c r="B72" s="25" t="s">
        <v>80</v>
      </c>
      <c r="C72" s="531"/>
      <c r="D72" s="532"/>
      <c r="E72" s="30"/>
      <c r="F72" s="395"/>
      <c r="G72" s="458"/>
    </row>
    <row r="73" spans="1:7" s="13" customFormat="1" ht="78" customHeight="1" thickBot="1" x14ac:dyDescent="0.3">
      <c r="A73" s="47" t="s">
        <v>29</v>
      </c>
      <c r="B73" s="25" t="s">
        <v>211</v>
      </c>
      <c r="C73" s="531"/>
      <c r="D73" s="532"/>
      <c r="E73" s="30"/>
      <c r="F73" s="395"/>
      <c r="G73" s="458"/>
    </row>
    <row r="74" spans="1:7" s="13" customFormat="1" ht="54.6" customHeight="1" thickBot="1" x14ac:dyDescent="0.3">
      <c r="A74" s="47" t="s">
        <v>31</v>
      </c>
      <c r="B74" s="25" t="s">
        <v>210</v>
      </c>
      <c r="C74" s="543" t="s">
        <v>30</v>
      </c>
      <c r="D74" s="544"/>
      <c r="E74" s="29"/>
      <c r="F74" s="395" t="s">
        <v>408</v>
      </c>
      <c r="G74" s="458" t="s">
        <v>408</v>
      </c>
    </row>
    <row r="75" spans="1:7" s="13" customFormat="1" ht="30.95" customHeight="1" thickBot="1" x14ac:dyDescent="0.3">
      <c r="A75" s="47" t="s">
        <v>55</v>
      </c>
      <c r="B75" s="25" t="s">
        <v>95</v>
      </c>
      <c r="C75" s="531"/>
      <c r="D75" s="532"/>
      <c r="E75" s="30"/>
      <c r="F75" s="395"/>
      <c r="G75" s="458"/>
    </row>
    <row r="76" spans="1:7" s="13" customFormat="1" ht="28.5" customHeight="1" thickBot="1" x14ac:dyDescent="0.3">
      <c r="A76" s="47" t="s">
        <v>32</v>
      </c>
      <c r="B76" s="25" t="s">
        <v>96</v>
      </c>
      <c r="C76" s="543" t="s">
        <v>30</v>
      </c>
      <c r="D76" s="544"/>
      <c r="E76" s="29"/>
      <c r="F76" s="395" t="s">
        <v>409</v>
      </c>
      <c r="G76" s="458" t="s">
        <v>409</v>
      </c>
    </row>
    <row r="77" spans="1:7" s="13" customFormat="1" ht="39.6" customHeight="1" thickBot="1" x14ac:dyDescent="0.3">
      <c r="A77" s="47" t="s">
        <v>56</v>
      </c>
      <c r="B77" s="25" t="s">
        <v>167</v>
      </c>
      <c r="C77" s="531"/>
      <c r="D77" s="532"/>
      <c r="E77" s="30"/>
      <c r="F77" s="395"/>
      <c r="G77" s="458"/>
    </row>
    <row r="78" spans="1:7" s="13" customFormat="1" ht="27" customHeight="1" thickBot="1" x14ac:dyDescent="0.3">
      <c r="A78" s="47" t="s">
        <v>48</v>
      </c>
      <c r="B78" s="25" t="s">
        <v>47</v>
      </c>
      <c r="C78" s="531"/>
      <c r="D78" s="532"/>
      <c r="E78" s="30"/>
      <c r="F78" s="395"/>
      <c r="G78" s="458"/>
    </row>
    <row r="79" spans="1:7" s="13" customFormat="1" ht="26.25" thickBot="1" x14ac:dyDescent="0.3">
      <c r="A79" s="47" t="s">
        <v>49</v>
      </c>
      <c r="B79" s="25" t="s">
        <v>103</v>
      </c>
      <c r="C79" s="531"/>
      <c r="D79" s="532"/>
      <c r="E79" s="30"/>
      <c r="F79" s="395"/>
      <c r="G79" s="458"/>
    </row>
    <row r="80" spans="1:7" s="13" customFormat="1" ht="26.25" thickBot="1" x14ac:dyDescent="0.3">
      <c r="A80" s="47" t="s">
        <v>46</v>
      </c>
      <c r="B80" s="25" t="s">
        <v>81</v>
      </c>
      <c r="C80" s="531"/>
      <c r="D80" s="532"/>
      <c r="E80" s="30"/>
      <c r="F80" s="395"/>
      <c r="G80" s="458"/>
    </row>
    <row r="81" spans="1:7" ht="13.5" thickBot="1" x14ac:dyDescent="0.25"/>
    <row r="82" spans="1:7" s="16" customFormat="1" ht="18.75" thickBot="1" x14ac:dyDescent="0.3">
      <c r="A82" s="536" t="s">
        <v>168</v>
      </c>
      <c r="B82" s="537"/>
      <c r="C82" s="537"/>
      <c r="D82" s="538"/>
      <c r="E82" s="33"/>
      <c r="F82" s="573" t="s">
        <v>389</v>
      </c>
      <c r="G82" s="574"/>
    </row>
    <row r="83" spans="1:7" s="3" customFormat="1" ht="15" customHeight="1" thickBot="1" x14ac:dyDescent="0.3">
      <c r="A83" s="545" t="s">
        <v>169</v>
      </c>
      <c r="B83" s="546"/>
      <c r="C83" s="546"/>
      <c r="D83" s="547"/>
      <c r="E83" s="34"/>
      <c r="F83" s="415" t="s">
        <v>19</v>
      </c>
      <c r="G83" s="415" t="s">
        <v>429</v>
      </c>
    </row>
    <row r="84" spans="1:7" s="13" customFormat="1" x14ac:dyDescent="0.25">
      <c r="A84" s="548" t="s">
        <v>83</v>
      </c>
      <c r="B84" s="549"/>
      <c r="C84" s="549"/>
      <c r="D84" s="550"/>
      <c r="E84" s="30"/>
      <c r="F84" s="420">
        <f>-1010*('PPI Adj'!D6)</f>
        <v>-1178.67</v>
      </c>
      <c r="G84" s="420">
        <f>-1010*('PPI Adj'!D6)</f>
        <v>-1178.67</v>
      </c>
    </row>
    <row r="85" spans="1:7" s="13" customFormat="1" x14ac:dyDescent="0.25">
      <c r="A85" s="551" t="s">
        <v>34</v>
      </c>
      <c r="B85" s="552"/>
      <c r="C85" s="552"/>
      <c r="D85" s="553"/>
      <c r="E85" s="29"/>
      <c r="F85" s="421">
        <f>947*('PPI Adj'!D6)</f>
        <v>1105.1490000000001</v>
      </c>
      <c r="G85" s="421">
        <f>947*('PPI Adj'!D6)</f>
        <v>1105.1490000000001</v>
      </c>
    </row>
    <row r="86" spans="1:7" s="13" customFormat="1" x14ac:dyDescent="0.25">
      <c r="A86" s="551" t="s">
        <v>35</v>
      </c>
      <c r="B86" s="552"/>
      <c r="C86" s="552"/>
      <c r="D86" s="553"/>
      <c r="E86" s="30"/>
      <c r="F86" s="421">
        <f>452*('PPI Adj'!D6)</f>
        <v>527.48400000000004</v>
      </c>
      <c r="G86" s="421">
        <f>452*('PPI Adj'!D6)</f>
        <v>527.48400000000004</v>
      </c>
    </row>
    <row r="87" spans="1:7" s="13" customFormat="1" x14ac:dyDescent="0.25">
      <c r="A87" s="551" t="s">
        <v>36</v>
      </c>
      <c r="B87" s="552"/>
      <c r="C87" s="552"/>
      <c r="D87" s="553"/>
      <c r="E87" s="29"/>
      <c r="F87" s="421">
        <f>477.6*('PPI Adj'!D6)</f>
        <v>557.3592000000001</v>
      </c>
      <c r="G87" s="421">
        <f>477.6*('PPI Adj'!D6)</f>
        <v>557.3592000000001</v>
      </c>
    </row>
    <row r="88" spans="1:7" s="13" customFormat="1" x14ac:dyDescent="0.25">
      <c r="A88" s="551" t="s">
        <v>60</v>
      </c>
      <c r="B88" s="552"/>
      <c r="C88" s="552"/>
      <c r="D88" s="553"/>
      <c r="E88" s="29"/>
      <c r="F88" s="421">
        <f>86*('PPI Adj'!D6)</f>
        <v>100.36200000000001</v>
      </c>
      <c r="G88" s="421">
        <f>86*('PPI Adj'!D6)</f>
        <v>100.36200000000001</v>
      </c>
    </row>
    <row r="89" spans="1:7" s="13" customFormat="1" x14ac:dyDescent="0.25">
      <c r="A89" s="551" t="s">
        <v>61</v>
      </c>
      <c r="B89" s="552"/>
      <c r="C89" s="552"/>
      <c r="D89" s="553"/>
      <c r="E89" s="29"/>
      <c r="F89" s="421">
        <f>1419*('PPI Adj'!D6)</f>
        <v>1655.973</v>
      </c>
      <c r="G89" s="421">
        <f>1419*('PPI Adj'!D6)</f>
        <v>1655.973</v>
      </c>
    </row>
    <row r="90" spans="1:7" s="13" customFormat="1" x14ac:dyDescent="0.25">
      <c r="A90" s="551" t="s">
        <v>86</v>
      </c>
      <c r="B90" s="552"/>
      <c r="C90" s="552"/>
      <c r="D90" s="553"/>
      <c r="E90" s="29"/>
      <c r="F90" s="421">
        <f>856*('PPI Adj'!D6)</f>
        <v>998.952</v>
      </c>
      <c r="G90" s="421">
        <f>856*('PPI Adj'!D6)</f>
        <v>998.952</v>
      </c>
    </row>
    <row r="91" spans="1:7" x14ac:dyDescent="0.2">
      <c r="A91" s="551" t="s">
        <v>85</v>
      </c>
      <c r="B91" s="552"/>
      <c r="C91" s="552"/>
      <c r="D91" s="553"/>
      <c r="E91" s="29"/>
      <c r="F91" s="421">
        <f>8686*('PPI Adj'!D6)</f>
        <v>10136.562</v>
      </c>
      <c r="G91" s="421">
        <f>8686*('PPI Adj'!D6)</f>
        <v>10136.562</v>
      </c>
    </row>
    <row r="92" spans="1:7" x14ac:dyDescent="0.2">
      <c r="A92" s="551" t="s">
        <v>13</v>
      </c>
      <c r="B92" s="552"/>
      <c r="C92" s="552"/>
      <c r="D92" s="553"/>
      <c r="E92" s="29"/>
      <c r="F92" s="421">
        <f>10801*('PPI Adj'!D6)</f>
        <v>12604.767</v>
      </c>
      <c r="G92" s="421">
        <f>10801*('PPI Adj'!D6)</f>
        <v>12604.767</v>
      </c>
    </row>
    <row r="93" spans="1:7" x14ac:dyDescent="0.2">
      <c r="A93" s="551" t="s">
        <v>37</v>
      </c>
      <c r="B93" s="552"/>
      <c r="C93" s="552"/>
      <c r="D93" s="553"/>
      <c r="E93" s="30"/>
      <c r="F93" s="421">
        <f>595*('PPI Adj'!D6)</f>
        <v>694.36500000000001</v>
      </c>
      <c r="G93" s="421">
        <f>595*('PPI Adj'!D6)</f>
        <v>694.36500000000001</v>
      </c>
    </row>
    <row r="94" spans="1:7" x14ac:dyDescent="0.2">
      <c r="A94" s="551" t="s">
        <v>38</v>
      </c>
      <c r="B94" s="552"/>
      <c r="C94" s="552"/>
      <c r="D94" s="553"/>
      <c r="E94" s="30"/>
      <c r="F94" s="421">
        <f>583*('PPI Adj'!D6)</f>
        <v>680.36099999999999</v>
      </c>
      <c r="G94" s="421">
        <f>583*('PPI Adj'!D6)</f>
        <v>680.36099999999999</v>
      </c>
    </row>
    <row r="95" spans="1:7" x14ac:dyDescent="0.2">
      <c r="A95" s="551" t="s">
        <v>201</v>
      </c>
      <c r="B95" s="552"/>
      <c r="C95" s="552"/>
      <c r="D95" s="553"/>
      <c r="E95" s="30"/>
      <c r="F95" s="421" t="s">
        <v>183</v>
      </c>
      <c r="G95" s="421" t="s">
        <v>183</v>
      </c>
    </row>
    <row r="96" spans="1:7" x14ac:dyDescent="0.2">
      <c r="A96" s="551" t="s">
        <v>39</v>
      </c>
      <c r="B96" s="552"/>
      <c r="C96" s="552"/>
      <c r="D96" s="553"/>
      <c r="E96" s="29"/>
      <c r="F96" s="421">
        <f>472*('PPI Adj'!D6)</f>
        <v>550.82400000000007</v>
      </c>
      <c r="G96" s="421">
        <f>472*('PPI Adj'!D6)</f>
        <v>550.82400000000007</v>
      </c>
    </row>
    <row r="97" spans="1:7" x14ac:dyDescent="0.2">
      <c r="A97" s="551" t="s">
        <v>88</v>
      </c>
      <c r="B97" s="552"/>
      <c r="C97" s="552"/>
      <c r="D97" s="553"/>
      <c r="E97" s="29"/>
      <c r="F97" s="421">
        <f>4245*('PPI Adj'!D6)</f>
        <v>4953.915</v>
      </c>
      <c r="G97" s="421">
        <f>4245*('PPI Adj'!D6)</f>
        <v>4953.915</v>
      </c>
    </row>
    <row r="98" spans="1:7" x14ac:dyDescent="0.2">
      <c r="A98" s="551" t="s">
        <v>40</v>
      </c>
      <c r="B98" s="552"/>
      <c r="C98" s="552"/>
      <c r="D98" s="553"/>
      <c r="E98" s="29"/>
      <c r="F98" s="421">
        <f>389*('PPI Adj'!D6)</f>
        <v>453.96300000000002</v>
      </c>
      <c r="G98" s="421">
        <f>389*('PPI Adj'!D6)</f>
        <v>453.96300000000002</v>
      </c>
    </row>
    <row r="99" spans="1:7" x14ac:dyDescent="0.2">
      <c r="A99" s="551" t="s">
        <v>14</v>
      </c>
      <c r="B99" s="552"/>
      <c r="C99" s="552"/>
      <c r="D99" s="553"/>
      <c r="E99" s="29"/>
      <c r="F99" s="421">
        <f>12210*('PPI Adj'!D6)</f>
        <v>14249.07</v>
      </c>
      <c r="G99" s="421">
        <f>12210*('PPI Adj'!D6)</f>
        <v>14249.07</v>
      </c>
    </row>
    <row r="100" spans="1:7" x14ac:dyDescent="0.2">
      <c r="A100" s="551" t="s">
        <v>91</v>
      </c>
      <c r="B100" s="552"/>
      <c r="C100" s="552"/>
      <c r="D100" s="553"/>
      <c r="E100" s="29"/>
      <c r="F100" s="421">
        <f>1971*('PPI Adj'!D6)</f>
        <v>2300.1570000000002</v>
      </c>
      <c r="G100" s="421">
        <f>1971*('PPI Adj'!D6)</f>
        <v>2300.1570000000002</v>
      </c>
    </row>
    <row r="101" spans="1:7" x14ac:dyDescent="0.2">
      <c r="A101" s="557" t="s">
        <v>272</v>
      </c>
      <c r="B101" s="558"/>
      <c r="C101" s="558"/>
      <c r="D101" s="559"/>
      <c r="E101" s="29"/>
      <c r="F101" s="422">
        <f>-1775*('PPI Adj'!D6)</f>
        <v>-2071.4250000000002</v>
      </c>
      <c r="G101" s="422">
        <f>-1775*('PPI Adj'!D6)</f>
        <v>-2071.4250000000002</v>
      </c>
    </row>
    <row r="102" spans="1:7" ht="13.5" customHeight="1" thickBot="1" x14ac:dyDescent="0.25">
      <c r="A102" s="735" t="s">
        <v>92</v>
      </c>
      <c r="B102" s="736"/>
      <c r="C102" s="736"/>
      <c r="D102" s="737"/>
      <c r="E102" s="30"/>
      <c r="F102" s="423">
        <f>2023*('PPI Adj'!D6)</f>
        <v>2360.8409999999999</v>
      </c>
      <c r="G102" s="423">
        <f>2023*('PPI Adj'!D6)</f>
        <v>2360.8409999999999</v>
      </c>
    </row>
    <row r="103" spans="1:7" ht="13.5" thickBot="1" x14ac:dyDescent="0.25"/>
    <row r="104" spans="1:7" s="16" customFormat="1" ht="18.75" thickBot="1" x14ac:dyDescent="0.3">
      <c r="A104" s="536" t="s">
        <v>166</v>
      </c>
      <c r="B104" s="537"/>
      <c r="C104" s="537"/>
      <c r="D104" s="538"/>
      <c r="E104" s="33"/>
      <c r="F104" s="573" t="s">
        <v>389</v>
      </c>
      <c r="G104" s="574"/>
    </row>
    <row r="105" spans="1:7" s="3" customFormat="1" ht="15" customHeight="1" thickBot="1" x14ac:dyDescent="0.3">
      <c r="A105" s="49" t="s">
        <v>33</v>
      </c>
      <c r="B105" s="19" t="s">
        <v>7</v>
      </c>
      <c r="C105" s="560" t="s">
        <v>165</v>
      </c>
      <c r="D105" s="561"/>
      <c r="E105" s="34"/>
      <c r="F105" s="415" t="s">
        <v>19</v>
      </c>
      <c r="G105" s="415" t="s">
        <v>429</v>
      </c>
    </row>
    <row r="106" spans="1:7" s="13" customFormat="1" ht="41.1" customHeight="1" thickBot="1" x14ac:dyDescent="0.3">
      <c r="A106" s="50" t="s">
        <v>83</v>
      </c>
      <c r="B106" s="18" t="s">
        <v>146</v>
      </c>
      <c r="C106" s="562"/>
      <c r="D106" s="563"/>
      <c r="E106" s="30"/>
      <c r="F106" s="464"/>
      <c r="G106" s="373"/>
    </row>
    <row r="107" spans="1:7" s="13" customFormat="1" ht="26.25" thickBot="1" x14ac:dyDescent="0.3">
      <c r="A107" s="47" t="s">
        <v>34</v>
      </c>
      <c r="B107" s="25" t="s">
        <v>107</v>
      </c>
      <c r="C107" s="543" t="s">
        <v>30</v>
      </c>
      <c r="D107" s="544"/>
      <c r="E107" s="29"/>
      <c r="F107" s="464" t="s">
        <v>349</v>
      </c>
      <c r="G107" s="373" t="s">
        <v>349</v>
      </c>
    </row>
    <row r="108" spans="1:7" s="13" customFormat="1" ht="51.95" customHeight="1" thickBot="1" x14ac:dyDescent="0.3">
      <c r="A108" s="47" t="s">
        <v>35</v>
      </c>
      <c r="B108" s="25" t="s">
        <v>97</v>
      </c>
      <c r="C108" s="531"/>
      <c r="D108" s="532"/>
      <c r="E108" s="30"/>
      <c r="F108" s="464"/>
      <c r="G108" s="373"/>
    </row>
    <row r="109" spans="1:7" s="13" customFormat="1" ht="26.25" thickBot="1" x14ac:dyDescent="0.3">
      <c r="A109" s="47" t="s">
        <v>36</v>
      </c>
      <c r="B109" s="25" t="s">
        <v>84</v>
      </c>
      <c r="C109" s="543" t="s">
        <v>99</v>
      </c>
      <c r="D109" s="544"/>
      <c r="E109" s="29"/>
      <c r="F109" s="464" t="s">
        <v>410</v>
      </c>
      <c r="G109" s="373" t="s">
        <v>410</v>
      </c>
    </row>
    <row r="110" spans="1:7" s="13" customFormat="1" ht="12.75" customHeight="1" x14ac:dyDescent="0.25">
      <c r="A110" s="517" t="s">
        <v>60</v>
      </c>
      <c r="B110" s="519" t="s">
        <v>133</v>
      </c>
      <c r="C110" s="521" t="s">
        <v>203</v>
      </c>
      <c r="D110" s="522"/>
      <c r="E110" s="29"/>
      <c r="F110" s="465" t="s">
        <v>398</v>
      </c>
      <c r="G110" s="367" t="s">
        <v>398</v>
      </c>
    </row>
    <row r="111" spans="1:7" s="13" customFormat="1" x14ac:dyDescent="0.25">
      <c r="A111" s="525"/>
      <c r="B111" s="526"/>
      <c r="C111" s="527" t="s">
        <v>202</v>
      </c>
      <c r="D111" s="528"/>
      <c r="E111" s="29"/>
      <c r="F111" s="466">
        <v>5675</v>
      </c>
      <c r="G111" s="334">
        <v>5675</v>
      </c>
    </row>
    <row r="112" spans="1:7" s="13" customFormat="1" x14ac:dyDescent="0.25">
      <c r="A112" s="525"/>
      <c r="B112" s="526"/>
      <c r="C112" s="527" t="s">
        <v>114</v>
      </c>
      <c r="D112" s="528"/>
      <c r="E112" s="29"/>
      <c r="F112" s="466" t="s">
        <v>411</v>
      </c>
      <c r="G112" s="334" t="s">
        <v>411</v>
      </c>
    </row>
    <row r="113" spans="1:7" s="13" customFormat="1" ht="30.75" customHeight="1" thickBot="1" x14ac:dyDescent="0.3">
      <c r="A113" s="518"/>
      <c r="B113" s="520"/>
      <c r="C113" s="515" t="s">
        <v>115</v>
      </c>
      <c r="D113" s="516"/>
      <c r="E113" s="29"/>
      <c r="F113" s="467" t="s">
        <v>412</v>
      </c>
      <c r="G113" s="343" t="s">
        <v>412</v>
      </c>
    </row>
    <row r="114" spans="1:7" s="13" customFormat="1" ht="12.75" customHeight="1" x14ac:dyDescent="0.25">
      <c r="A114" s="517" t="s">
        <v>61</v>
      </c>
      <c r="B114" s="519" t="s">
        <v>206</v>
      </c>
      <c r="C114" s="521" t="s">
        <v>205</v>
      </c>
      <c r="D114" s="522"/>
      <c r="E114" s="29"/>
      <c r="F114" s="465" t="s">
        <v>413</v>
      </c>
      <c r="G114" s="367" t="s">
        <v>413</v>
      </c>
    </row>
    <row r="115" spans="1:7" s="13" customFormat="1" x14ac:dyDescent="0.25">
      <c r="A115" s="525"/>
      <c r="B115" s="526"/>
      <c r="C115" s="527" t="s">
        <v>204</v>
      </c>
      <c r="D115" s="528"/>
      <c r="E115" s="29"/>
      <c r="F115" s="468">
        <v>6610</v>
      </c>
      <c r="G115" s="419">
        <v>6610</v>
      </c>
    </row>
    <row r="116" spans="1:7" s="13" customFormat="1" x14ac:dyDescent="0.25">
      <c r="A116" s="525"/>
      <c r="B116" s="526"/>
      <c r="C116" s="527" t="s">
        <v>203</v>
      </c>
      <c r="D116" s="528"/>
      <c r="E116" s="29"/>
      <c r="F116" s="468" t="s">
        <v>413</v>
      </c>
      <c r="G116" s="419" t="s">
        <v>413</v>
      </c>
    </row>
    <row r="117" spans="1:7" s="13" customFormat="1" x14ac:dyDescent="0.25">
      <c r="A117" s="525"/>
      <c r="B117" s="526"/>
      <c r="C117" s="527" t="s">
        <v>202</v>
      </c>
      <c r="D117" s="528"/>
      <c r="E117" s="29"/>
      <c r="F117" s="466">
        <v>6005</v>
      </c>
      <c r="G117" s="334">
        <v>6005</v>
      </c>
    </row>
    <row r="118" spans="1:7" s="13" customFormat="1" x14ac:dyDescent="0.25">
      <c r="A118" s="525"/>
      <c r="B118" s="526"/>
      <c r="C118" s="527" t="s">
        <v>112</v>
      </c>
      <c r="D118" s="528"/>
      <c r="E118" s="29"/>
      <c r="F118" s="466" t="s">
        <v>414</v>
      </c>
      <c r="G118" s="334" t="s">
        <v>414</v>
      </c>
    </row>
    <row r="119" spans="1:7" s="13" customFormat="1" x14ac:dyDescent="0.25">
      <c r="A119" s="525"/>
      <c r="B119" s="526"/>
      <c r="C119" s="527" t="s">
        <v>113</v>
      </c>
      <c r="D119" s="528"/>
      <c r="E119" s="29"/>
      <c r="F119" s="468" t="s">
        <v>415</v>
      </c>
      <c r="G119" s="419" t="s">
        <v>415</v>
      </c>
    </row>
    <row r="120" spans="1:7" s="13" customFormat="1" x14ac:dyDescent="0.25">
      <c r="A120" s="525"/>
      <c r="B120" s="526"/>
      <c r="C120" s="527" t="s">
        <v>114</v>
      </c>
      <c r="D120" s="528"/>
      <c r="E120" s="29"/>
      <c r="F120" s="468" t="s">
        <v>416</v>
      </c>
      <c r="G120" s="419" t="s">
        <v>416</v>
      </c>
    </row>
    <row r="121" spans="1:7" s="13" customFormat="1" ht="13.5" thickBot="1" x14ac:dyDescent="0.3">
      <c r="A121" s="518"/>
      <c r="B121" s="520"/>
      <c r="C121" s="515" t="s">
        <v>115</v>
      </c>
      <c r="D121" s="516"/>
      <c r="E121" s="29"/>
      <c r="F121" s="467" t="s">
        <v>415</v>
      </c>
      <c r="G121" s="343" t="s">
        <v>415</v>
      </c>
    </row>
    <row r="122" spans="1:7" s="13" customFormat="1" ht="143.44999999999999" customHeight="1" thickBot="1" x14ac:dyDescent="0.3">
      <c r="A122" s="51" t="s">
        <v>86</v>
      </c>
      <c r="B122" s="17" t="s">
        <v>143</v>
      </c>
      <c r="C122" s="543" t="s">
        <v>104</v>
      </c>
      <c r="D122" s="544"/>
      <c r="E122" s="29"/>
      <c r="F122" s="465" t="s">
        <v>417</v>
      </c>
      <c r="G122" s="367" t="s">
        <v>417</v>
      </c>
    </row>
    <row r="123" spans="1:7" ht="168.6" customHeight="1" thickBot="1" x14ac:dyDescent="0.25">
      <c r="A123" s="47" t="s">
        <v>85</v>
      </c>
      <c r="B123" s="14" t="s">
        <v>170</v>
      </c>
      <c r="C123" s="543" t="s">
        <v>104</v>
      </c>
      <c r="D123" s="544"/>
      <c r="E123" s="29"/>
      <c r="F123" s="464" t="s">
        <v>418</v>
      </c>
      <c r="G123" s="373" t="s">
        <v>418</v>
      </c>
    </row>
    <row r="124" spans="1:7" x14ac:dyDescent="0.2">
      <c r="A124" s="517" t="s">
        <v>13</v>
      </c>
      <c r="B124" s="519" t="s">
        <v>98</v>
      </c>
      <c r="C124" s="521" t="s">
        <v>30</v>
      </c>
      <c r="D124" s="522"/>
      <c r="E124" s="29"/>
      <c r="F124" s="465" t="s">
        <v>419</v>
      </c>
      <c r="G124" s="367" t="s">
        <v>419</v>
      </c>
    </row>
    <row r="125" spans="1:7" ht="29.45" customHeight="1" thickBot="1" x14ac:dyDescent="0.25">
      <c r="A125" s="518"/>
      <c r="B125" s="520"/>
      <c r="C125" s="515" t="s">
        <v>109</v>
      </c>
      <c r="D125" s="516"/>
      <c r="E125" s="29"/>
      <c r="F125" s="467" t="s">
        <v>359</v>
      </c>
      <c r="G125" s="343" t="s">
        <v>359</v>
      </c>
    </row>
    <row r="126" spans="1:7" ht="66.95" customHeight="1" thickBot="1" x14ac:dyDescent="0.25">
      <c r="A126" s="47" t="s">
        <v>37</v>
      </c>
      <c r="B126" s="25" t="s">
        <v>135</v>
      </c>
      <c r="C126" s="531"/>
      <c r="D126" s="532"/>
      <c r="E126" s="30"/>
      <c r="F126" s="464" t="s">
        <v>375</v>
      </c>
      <c r="G126" s="373" t="s">
        <v>375</v>
      </c>
    </row>
    <row r="127" spans="1:7" ht="41.1" customHeight="1" thickBot="1" x14ac:dyDescent="0.25">
      <c r="A127" s="47" t="s">
        <v>38</v>
      </c>
      <c r="B127" s="25" t="s">
        <v>87</v>
      </c>
      <c r="C127" s="531"/>
      <c r="D127" s="532"/>
      <c r="E127" s="30"/>
      <c r="F127" s="464"/>
      <c r="G127" s="373"/>
    </row>
    <row r="128" spans="1:7" ht="14.45" customHeight="1" thickBot="1" x14ac:dyDescent="0.25">
      <c r="A128" s="47" t="s">
        <v>201</v>
      </c>
      <c r="B128" s="25" t="s">
        <v>200</v>
      </c>
      <c r="C128" s="543"/>
      <c r="D128" s="544"/>
      <c r="E128" s="29"/>
      <c r="F128" s="464"/>
      <c r="G128" s="373"/>
    </row>
    <row r="129" spans="1:7" ht="26.45" customHeight="1" thickBot="1" x14ac:dyDescent="0.25">
      <c r="A129" s="47" t="s">
        <v>39</v>
      </c>
      <c r="B129" s="25" t="s">
        <v>106</v>
      </c>
      <c r="C129" s="543" t="s">
        <v>105</v>
      </c>
      <c r="D129" s="544"/>
      <c r="E129" s="29"/>
      <c r="F129" s="464" t="s">
        <v>323</v>
      </c>
      <c r="G129" s="373" t="s">
        <v>323</v>
      </c>
    </row>
    <row r="130" spans="1:7" x14ac:dyDescent="0.2">
      <c r="A130" s="517" t="s">
        <v>88</v>
      </c>
      <c r="B130" s="519" t="s">
        <v>148</v>
      </c>
      <c r="C130" s="521" t="s">
        <v>100</v>
      </c>
      <c r="D130" s="522"/>
      <c r="E130" s="29"/>
      <c r="F130" s="465" t="s">
        <v>420</v>
      </c>
      <c r="G130" s="367" t="s">
        <v>420</v>
      </c>
    </row>
    <row r="131" spans="1:7" ht="108" customHeight="1" thickBot="1" x14ac:dyDescent="0.25">
      <c r="A131" s="518"/>
      <c r="B131" s="520"/>
      <c r="C131" s="515" t="s">
        <v>110</v>
      </c>
      <c r="D131" s="516"/>
      <c r="E131" s="29"/>
      <c r="F131" s="469" t="s">
        <v>435</v>
      </c>
      <c r="G131" s="424" t="s">
        <v>435</v>
      </c>
    </row>
    <row r="132" spans="1:7" ht="26.25" thickBot="1" x14ac:dyDescent="0.25">
      <c r="A132" s="47" t="s">
        <v>40</v>
      </c>
      <c r="B132" s="25" t="s">
        <v>137</v>
      </c>
      <c r="C132" s="543" t="s">
        <v>100</v>
      </c>
      <c r="D132" s="544"/>
      <c r="E132" s="29"/>
      <c r="F132" s="467" t="s">
        <v>360</v>
      </c>
      <c r="G132" s="343" t="s">
        <v>360</v>
      </c>
    </row>
    <row r="133" spans="1:7" ht="54.6" customHeight="1" thickBot="1" x14ac:dyDescent="0.25">
      <c r="A133" s="47" t="s">
        <v>14</v>
      </c>
      <c r="B133" s="25" t="s">
        <v>138</v>
      </c>
      <c r="C133" s="543" t="s">
        <v>139</v>
      </c>
      <c r="D133" s="544"/>
      <c r="E133" s="29"/>
      <c r="F133" s="464">
        <v>2</v>
      </c>
      <c r="G133" s="373">
        <v>2</v>
      </c>
    </row>
    <row r="134" spans="1:7" ht="66" customHeight="1" thickBot="1" x14ac:dyDescent="0.25">
      <c r="A134" s="47" t="s">
        <v>91</v>
      </c>
      <c r="B134" s="25" t="s">
        <v>144</v>
      </c>
      <c r="C134" s="543" t="s">
        <v>100</v>
      </c>
      <c r="D134" s="544"/>
      <c r="E134" s="29"/>
      <c r="F134" s="464" t="s">
        <v>361</v>
      </c>
      <c r="G134" s="373" t="s">
        <v>361</v>
      </c>
    </row>
    <row r="135" spans="1:7" ht="65.45" customHeight="1" thickBot="1" x14ac:dyDescent="0.25">
      <c r="A135" s="47" t="s">
        <v>92</v>
      </c>
      <c r="B135" s="25" t="s">
        <v>145</v>
      </c>
      <c r="C135" s="531"/>
      <c r="D135" s="532"/>
      <c r="E135" s="30"/>
      <c r="F135" s="464"/>
      <c r="G135" s="373"/>
    </row>
  </sheetData>
  <sheetProtection algorithmName="SHA-512" hashValue="aZMxKnBg9FgYX1Q4Lj1jTj2xPWj63xSZmrq9i1Qct7Uqdm+o0kg+btHXp6CP7MFFoH5DZMUPr6z+j5Ld6glMwA==" saltValue="o+gVkrDKk7ZhIdd7pjZXCA==" spinCount="100000" sheet="1" objects="1" scenarios="1"/>
  <dataConsolidate/>
  <mergeCells count="159">
    <mergeCell ref="F104:G104"/>
    <mergeCell ref="F82:G82"/>
    <mergeCell ref="C134:D134"/>
    <mergeCell ref="C135:D135"/>
    <mergeCell ref="C126:D126"/>
    <mergeCell ref="C127:D127"/>
    <mergeCell ref="C128:D128"/>
    <mergeCell ref="C129:D129"/>
    <mergeCell ref="C119:D119"/>
    <mergeCell ref="C120:D120"/>
    <mergeCell ref="C121:D121"/>
    <mergeCell ref="A83:D83"/>
    <mergeCell ref="A84:D84"/>
    <mergeCell ref="A85:D85"/>
    <mergeCell ref="A86:D86"/>
    <mergeCell ref="A87:D87"/>
    <mergeCell ref="A88:D88"/>
    <mergeCell ref="A82:D82"/>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B114:B121"/>
    <mergeCell ref="C114:D114"/>
    <mergeCell ref="C115:D115"/>
    <mergeCell ref="C116:D116"/>
    <mergeCell ref="C117:D117"/>
    <mergeCell ref="C118:D118"/>
    <mergeCell ref="A100:D100"/>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C77:D77"/>
    <mergeCell ref="C78:D78"/>
    <mergeCell ref="C79:D79"/>
    <mergeCell ref="C80:D80"/>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64:D64"/>
    <mergeCell ref="C65:D65"/>
    <mergeCell ref="C66:D66"/>
    <mergeCell ref="C67:D67"/>
    <mergeCell ref="C68:D68"/>
    <mergeCell ref="A53:A55"/>
    <mergeCell ref="B53:B55"/>
    <mergeCell ref="C53:D53"/>
    <mergeCell ref="C54:D54"/>
    <mergeCell ref="C55:D55"/>
    <mergeCell ref="C56:D56"/>
    <mergeCell ref="C57:D57"/>
    <mergeCell ref="A58:A59"/>
    <mergeCell ref="B58:B59"/>
    <mergeCell ref="C58:D58"/>
    <mergeCell ref="C59:D59"/>
    <mergeCell ref="C25:D25"/>
    <mergeCell ref="C26:D26"/>
    <mergeCell ref="C37:D37"/>
    <mergeCell ref="C44:D44"/>
    <mergeCell ref="A45:A52"/>
    <mergeCell ref="B45:B52"/>
    <mergeCell ref="C45:D45"/>
    <mergeCell ref="C46:D46"/>
    <mergeCell ref="C47:D47"/>
    <mergeCell ref="C48:D48"/>
    <mergeCell ref="C49:D49"/>
    <mergeCell ref="C50:D50"/>
    <mergeCell ref="C51:D51"/>
    <mergeCell ref="C52:D52"/>
    <mergeCell ref="A38:A39"/>
    <mergeCell ref="B38:B39"/>
    <mergeCell ref="C38:D38"/>
    <mergeCell ref="C39:D39"/>
    <mergeCell ref="C40:D40"/>
    <mergeCell ref="A41:A43"/>
    <mergeCell ref="B41:B43"/>
    <mergeCell ref="C41:D41"/>
    <mergeCell ref="C42:D42"/>
    <mergeCell ref="C43:D43"/>
    <mergeCell ref="A27:A28"/>
    <mergeCell ref="B27:B28"/>
    <mergeCell ref="C27:D27"/>
    <mergeCell ref="C28:D28"/>
    <mergeCell ref="C34:D34"/>
    <mergeCell ref="C29:D29"/>
    <mergeCell ref="A30:A34"/>
    <mergeCell ref="B30:B34"/>
    <mergeCell ref="C30:D30"/>
    <mergeCell ref="C31:D31"/>
    <mergeCell ref="C32:D32"/>
    <mergeCell ref="C33:D33"/>
    <mergeCell ref="C35:D35"/>
    <mergeCell ref="A36:A37"/>
    <mergeCell ref="B36:B37"/>
    <mergeCell ref="C36:D36"/>
    <mergeCell ref="A3:D3"/>
    <mergeCell ref="A4:D4"/>
    <mergeCell ref="A6:D6"/>
    <mergeCell ref="B8:D8"/>
    <mergeCell ref="F24:G24"/>
    <mergeCell ref="B9:D9"/>
    <mergeCell ref="B10:D10"/>
    <mergeCell ref="B11:D11"/>
    <mergeCell ref="B12:D12"/>
    <mergeCell ref="B21:D21"/>
    <mergeCell ref="B22:D22"/>
    <mergeCell ref="A24:D24"/>
    <mergeCell ref="B13:D13"/>
    <mergeCell ref="B14:D14"/>
    <mergeCell ref="F6:G6"/>
    <mergeCell ref="F19:G19"/>
    <mergeCell ref="B15:D15"/>
    <mergeCell ref="B16:D16"/>
    <mergeCell ref="B17:D17"/>
    <mergeCell ref="A19:D19"/>
  </mergeCells>
  <phoneticPr fontId="21" type="noConversion"/>
  <conditionalFormatting sqref="C56 C65">
    <cfRule type="expression" dxfId="95" priority="135">
      <formula>#REF!="NO"</formula>
    </cfRule>
  </conditionalFormatting>
  <conditionalFormatting sqref="C41:D43">
    <cfRule type="expression" dxfId="94" priority="123">
      <formula>$F$2="NO"</formula>
    </cfRule>
  </conditionalFormatting>
  <conditionalFormatting sqref="C26:E40">
    <cfRule type="expression" dxfId="93" priority="125">
      <formula>#REF!="NO"</formula>
    </cfRule>
  </conditionalFormatting>
  <conditionalFormatting sqref="C44:E80">
    <cfRule type="expression" dxfId="92" priority="122">
      <formula>#REF!="NO"</formula>
    </cfRule>
  </conditionalFormatting>
  <conditionalFormatting sqref="C106:G135">
    <cfRule type="expression" dxfId="91" priority="7">
      <formula>#REF!="NO"</formula>
    </cfRule>
  </conditionalFormatting>
  <conditionalFormatting sqref="E41:E43">
    <cfRule type="expression" dxfId="90" priority="124">
      <formula>#REF!="NO"</formula>
    </cfRule>
  </conditionalFormatting>
  <conditionalFormatting sqref="E84:G102">
    <cfRule type="expression" dxfId="89" priority="1">
      <formula>#REF!="NO"</formula>
    </cfRule>
  </conditionalFormatting>
  <conditionalFormatting sqref="F8:F17">
    <cfRule type="expression" dxfId="88" priority="80">
      <formula>#REF!="NO"</formula>
    </cfRule>
  </conditionalFormatting>
  <conditionalFormatting sqref="F21">
    <cfRule type="expression" dxfId="87" priority="121">
      <formula>#REF!="NO"</formula>
    </cfRule>
  </conditionalFormatting>
  <conditionalFormatting sqref="F26:F80">
    <cfRule type="expression" dxfId="86" priority="87">
      <formula>#REF!="NO"</formula>
    </cfRule>
  </conditionalFormatting>
  <conditionalFormatting sqref="F21:G22">
    <cfRule type="expression" dxfId="85" priority="30">
      <formula>#REF!="NO"</formula>
    </cfRule>
  </conditionalFormatting>
  <conditionalFormatting sqref="G8">
    <cfRule type="expression" dxfId="84" priority="44">
      <formula>$F$2="NO"</formula>
    </cfRule>
  </conditionalFormatting>
  <conditionalFormatting sqref="G9">
    <cfRule type="expression" dxfId="83" priority="36">
      <formula>#REF!="NO"</formula>
    </cfRule>
  </conditionalFormatting>
  <conditionalFormatting sqref="G10:G17">
    <cfRule type="expression" dxfId="82" priority="38">
      <formula>$F$2="NO"</formula>
    </cfRule>
  </conditionalFormatting>
  <conditionalFormatting sqref="G21">
    <cfRule type="expression" dxfId="81" priority="33">
      <formula>$F$2="NO"</formula>
    </cfRule>
  </conditionalFormatting>
  <conditionalFormatting sqref="G22">
    <cfRule type="expression" dxfId="80" priority="31">
      <formula>#REF!="NO"</formula>
    </cfRule>
  </conditionalFormatting>
  <conditionalFormatting sqref="G26">
    <cfRule type="expression" dxfId="79" priority="62">
      <formula>#REF!="NO"</formula>
    </cfRule>
  </conditionalFormatting>
  <conditionalFormatting sqref="G27:G68">
    <cfRule type="expression" dxfId="78" priority="63">
      <formula>$F$2="NO"</formula>
    </cfRule>
  </conditionalFormatting>
  <conditionalFormatting sqref="G56:G57">
    <cfRule type="expression" dxfId="77" priority="71">
      <formula>#REF!="NO"</formula>
    </cfRule>
  </conditionalFormatting>
  <conditionalFormatting sqref="G65">
    <cfRule type="expression" dxfId="76" priority="77">
      <formula>#REF!="NO"</formula>
    </cfRule>
  </conditionalFormatting>
  <conditionalFormatting sqref="G69">
    <cfRule type="expression" dxfId="75" priority="133">
      <formula>#REF!="NO"</formula>
    </cfRule>
  </conditionalFormatting>
  <conditionalFormatting sqref="G70:G80">
    <cfRule type="expression" dxfId="74" priority="66">
      <formula>$F$2="NO"</formula>
    </cfRule>
  </conditionalFormatting>
  <dataValidations count="3">
    <dataValidation type="decimal" operator="greaterThanOrEqual" allowBlank="1" showInputMessage="1" showErrorMessage="1" error="The Pickup Allowance cannot be a negative number." sqref="F16:G16" xr:uid="{00000000-0002-0000-0400-000002000000}">
      <formula1>0</formula1>
    </dataValidation>
    <dataValidation type="decimal" allowBlank="1" showInputMessage="1" showErrorMessage="1" error="Invalid Entry - Bidder must enter a value that is greater than $0" sqref="F21:G21" xr:uid="{00000000-0002-0000-0400-000001000000}">
      <formula1>0</formula1>
      <formula2>9E+21</formula2>
    </dataValidation>
    <dataValidation type="decimal" allowBlank="1" showInputMessage="1" showErrorMessage="1" error="The Additional Options NYS Discount entered must be greater than 0%, or less than or equal to 100%." sqref="F22:G22" xr:uid="{00000000-0002-0000-0400-000000000000}">
      <formula1>0.01</formula1>
      <formula2>100</formula2>
    </dataValidation>
  </dataValidations>
  <pageMargins left="0.25" right="0.25" top="0.5" bottom="0.25" header="0.3" footer="0.3"/>
  <pageSetup scale="8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B1A70-4418-407C-9720-9966FD396F01}">
  <sheetPr>
    <tabColor theme="5"/>
    <pageSetUpPr autoPageBreaks="0" fitToPage="1"/>
  </sheetPr>
  <dimension ref="A1:J120"/>
  <sheetViews>
    <sheetView showGridLines="0" zoomScale="80" zoomScaleNormal="80" workbookViewId="0">
      <selection activeCell="B9" sqref="B9:E9"/>
    </sheetView>
  </sheetViews>
  <sheetFormatPr defaultColWidth="9.140625" defaultRowHeight="12.75" x14ac:dyDescent="0.2"/>
  <cols>
    <col min="1" max="1" width="19.140625" style="2" customWidth="1"/>
    <col min="2" max="2" width="75.28515625" style="2" customWidth="1"/>
    <col min="3" max="3" width="6.85546875" style="2" customWidth="1"/>
    <col min="4" max="4" width="13.7109375" style="2" customWidth="1"/>
    <col min="5" max="5" width="22.28515625" style="5" customWidth="1"/>
    <col min="6" max="11" width="20.7109375" style="2" customWidth="1"/>
    <col min="12" max="16384" width="9.140625" style="2"/>
  </cols>
  <sheetData>
    <row r="1" spans="1:7" ht="18" customHeight="1" x14ac:dyDescent="0.2">
      <c r="A1" s="86" t="s">
        <v>650</v>
      </c>
      <c r="E1" s="2"/>
    </row>
    <row r="2" spans="1:7" s="20" customFormat="1" ht="18" customHeight="1" x14ac:dyDescent="0.25">
      <c r="A2" s="20" t="str">
        <f>'Attachment 1 - Summary'!B2</f>
        <v>PC69863 Nesco Bus and Truck Sales, Inc.</v>
      </c>
      <c r="B2" s="21"/>
      <c r="C2" s="21"/>
      <c r="D2" s="21"/>
      <c r="E2" s="21"/>
      <c r="F2" s="21"/>
      <c r="G2" s="21"/>
    </row>
    <row r="3" spans="1:7" ht="23.25" x14ac:dyDescent="0.2">
      <c r="A3" s="829" t="s">
        <v>599</v>
      </c>
      <c r="B3" s="829"/>
      <c r="C3" s="829"/>
      <c r="D3" s="829"/>
      <c r="E3" s="829"/>
      <c r="F3" s="8"/>
      <c r="G3" s="8"/>
    </row>
    <row r="4" spans="1:7" ht="51" customHeight="1" x14ac:dyDescent="0.2">
      <c r="A4" s="707" t="s">
        <v>598</v>
      </c>
      <c r="B4" s="707"/>
      <c r="C4" s="707"/>
      <c r="D4" s="707"/>
      <c r="E4" s="707"/>
      <c r="F4" s="8"/>
      <c r="G4" s="8"/>
    </row>
    <row r="5" spans="1:7" s="4" customFormat="1" ht="11.25" customHeight="1" thickBot="1" x14ac:dyDescent="0.3">
      <c r="A5" s="708"/>
      <c r="B5" s="708"/>
      <c r="C5" s="708"/>
      <c r="D5" s="709"/>
      <c r="E5" s="709"/>
      <c r="F5" s="191"/>
      <c r="G5" s="191"/>
    </row>
    <row r="6" spans="1:7" s="7" customFormat="1" ht="16.5" customHeight="1" thickBot="1" x14ac:dyDescent="0.25">
      <c r="A6" s="509" t="s">
        <v>151</v>
      </c>
      <c r="B6" s="510"/>
      <c r="C6" s="510"/>
      <c r="D6" s="510"/>
      <c r="E6" s="510"/>
      <c r="F6" s="510"/>
      <c r="G6" s="710"/>
    </row>
    <row r="7" spans="1:7" s="4" customFormat="1" ht="23.25" customHeight="1" thickBot="1" x14ac:dyDescent="0.3">
      <c r="A7" s="175" t="s">
        <v>6</v>
      </c>
      <c r="B7" s="711" t="s">
        <v>601</v>
      </c>
      <c r="C7" s="712"/>
      <c r="D7" s="712"/>
      <c r="E7" s="713"/>
      <c r="F7" s="190" t="s">
        <v>184</v>
      </c>
      <c r="G7" s="189" t="s">
        <v>510</v>
      </c>
    </row>
    <row r="8" spans="1:7" ht="72.75" customHeight="1" thickTop="1" thickBot="1" x14ac:dyDescent="0.25">
      <c r="A8" s="166" t="s">
        <v>185</v>
      </c>
      <c r="B8" s="500" t="s">
        <v>612</v>
      </c>
      <c r="C8" s="501"/>
      <c r="D8" s="501"/>
      <c r="E8" s="714"/>
      <c r="F8" s="196" t="s">
        <v>597</v>
      </c>
      <c r="G8" s="187"/>
    </row>
    <row r="9" spans="1:7" s="7" customFormat="1" ht="124.5" customHeight="1" thickTop="1" thickBot="1" x14ac:dyDescent="0.25">
      <c r="A9" s="166" t="s">
        <v>136</v>
      </c>
      <c r="B9" s="500" t="s">
        <v>613</v>
      </c>
      <c r="C9" s="501"/>
      <c r="D9" s="501"/>
      <c r="E9" s="501"/>
      <c r="F9" s="188" t="s">
        <v>422</v>
      </c>
      <c r="G9" s="187"/>
    </row>
    <row r="10" spans="1:7" ht="12.75" customHeight="1" thickTop="1" x14ac:dyDescent="0.2">
      <c r="A10" s="184" t="s">
        <v>563</v>
      </c>
      <c r="B10" s="497" t="s">
        <v>562</v>
      </c>
      <c r="C10" s="498"/>
      <c r="D10" s="498"/>
      <c r="E10" s="699"/>
      <c r="F10" s="89">
        <v>2024</v>
      </c>
      <c r="G10" s="153"/>
    </row>
    <row r="11" spans="1:7" ht="12.75" customHeight="1" x14ac:dyDescent="0.2">
      <c r="A11" s="162" t="s">
        <v>0</v>
      </c>
      <c r="B11" s="491" t="s">
        <v>561</v>
      </c>
      <c r="C11" s="492"/>
      <c r="D11" s="492"/>
      <c r="E11" s="694"/>
      <c r="F11" s="83" t="s">
        <v>392</v>
      </c>
      <c r="G11" s="150"/>
    </row>
    <row r="12" spans="1:7" x14ac:dyDescent="0.2">
      <c r="A12" s="162" t="s">
        <v>1</v>
      </c>
      <c r="B12" s="491" t="s">
        <v>560</v>
      </c>
      <c r="C12" s="492"/>
      <c r="D12" s="492"/>
      <c r="E12" s="694"/>
      <c r="F12" s="83" t="s">
        <v>393</v>
      </c>
      <c r="G12" s="150"/>
    </row>
    <row r="13" spans="1:7" ht="12.75" customHeight="1" thickBot="1" x14ac:dyDescent="0.25">
      <c r="A13" s="160" t="s">
        <v>2</v>
      </c>
      <c r="B13" s="494" t="s">
        <v>558</v>
      </c>
      <c r="C13" s="495"/>
      <c r="D13" s="495"/>
      <c r="E13" s="695"/>
      <c r="F13" s="186" t="s">
        <v>394</v>
      </c>
      <c r="G13" s="185"/>
    </row>
    <row r="14" spans="1:7" ht="12.75" customHeight="1" thickTop="1" x14ac:dyDescent="0.2">
      <c r="A14" s="184" t="s">
        <v>556</v>
      </c>
      <c r="B14" s="696" t="s">
        <v>555</v>
      </c>
      <c r="C14" s="697"/>
      <c r="D14" s="697"/>
      <c r="E14" s="698"/>
      <c r="F14" s="89">
        <v>2024</v>
      </c>
      <c r="G14" s="153"/>
    </row>
    <row r="15" spans="1:7" x14ac:dyDescent="0.2">
      <c r="A15" s="162" t="s">
        <v>3</v>
      </c>
      <c r="B15" s="491" t="s">
        <v>596</v>
      </c>
      <c r="C15" s="492"/>
      <c r="D15" s="492"/>
      <c r="E15" s="694"/>
      <c r="F15" s="83" t="s">
        <v>334</v>
      </c>
      <c r="G15" s="150"/>
    </row>
    <row r="16" spans="1:7" x14ac:dyDescent="0.2">
      <c r="A16" s="162" t="s">
        <v>4</v>
      </c>
      <c r="B16" s="491" t="s">
        <v>595</v>
      </c>
      <c r="C16" s="492"/>
      <c r="D16" s="492"/>
      <c r="E16" s="694"/>
      <c r="F16" s="83" t="s">
        <v>395</v>
      </c>
      <c r="G16" s="150"/>
    </row>
    <row r="17" spans="1:10" ht="13.5" thickBot="1" x14ac:dyDescent="0.25">
      <c r="A17" s="179" t="s">
        <v>5</v>
      </c>
      <c r="B17" s="494" t="s">
        <v>552</v>
      </c>
      <c r="C17" s="495"/>
      <c r="D17" s="495"/>
      <c r="E17" s="695"/>
      <c r="F17" s="178" t="s">
        <v>423</v>
      </c>
      <c r="G17" s="177"/>
    </row>
    <row r="18" spans="1:10" ht="29.25" customHeight="1" thickTop="1" x14ac:dyDescent="0.2">
      <c r="A18" s="162" t="s">
        <v>101</v>
      </c>
      <c r="B18" s="497" t="s">
        <v>551</v>
      </c>
      <c r="C18" s="498"/>
      <c r="D18" s="498"/>
      <c r="E18" s="699"/>
      <c r="F18" s="181">
        <v>100</v>
      </c>
      <c r="G18" s="180"/>
    </row>
    <row r="19" spans="1:10" ht="30.75" customHeight="1" thickBot="1" x14ac:dyDescent="0.25">
      <c r="A19" s="179" t="s">
        <v>43</v>
      </c>
      <c r="B19" s="494" t="s">
        <v>550</v>
      </c>
      <c r="C19" s="495"/>
      <c r="D19" s="495"/>
      <c r="E19" s="695"/>
      <c r="F19" s="178" t="s">
        <v>366</v>
      </c>
      <c r="G19" s="177"/>
    </row>
    <row r="20" spans="1:10" s="9" customFormat="1" ht="14.25" thickTop="1" thickBot="1" x14ac:dyDescent="0.25">
      <c r="E20" s="10"/>
      <c r="F20" s="10"/>
      <c r="G20" s="10"/>
      <c r="H20" s="10"/>
      <c r="I20" s="10"/>
      <c r="J20" s="10"/>
    </row>
    <row r="21" spans="1:10" s="11" customFormat="1" ht="16.5" customHeight="1" thickBot="1" x14ac:dyDescent="0.25">
      <c r="A21" s="509" t="s">
        <v>602</v>
      </c>
      <c r="B21" s="510"/>
      <c r="C21" s="510"/>
      <c r="D21" s="510"/>
      <c r="E21" s="510"/>
      <c r="F21" s="710"/>
    </row>
    <row r="22" spans="1:10" s="4" customFormat="1" ht="23.25" customHeight="1" thickBot="1" x14ac:dyDescent="0.3">
      <c r="A22" s="175" t="s">
        <v>6</v>
      </c>
      <c r="B22" s="711" t="s">
        <v>601</v>
      </c>
      <c r="C22" s="712"/>
      <c r="D22" s="712"/>
      <c r="E22" s="713"/>
      <c r="F22" s="190" t="s">
        <v>184</v>
      </c>
    </row>
    <row r="23" spans="1:10" ht="57" customHeight="1" thickTop="1" thickBot="1" x14ac:dyDescent="0.25">
      <c r="A23" s="171" t="s">
        <v>42</v>
      </c>
      <c r="B23" s="599" t="s">
        <v>594</v>
      </c>
      <c r="C23" s="600"/>
      <c r="D23" s="600"/>
      <c r="E23" s="715"/>
      <c r="F23" s="168">
        <v>409372.06</v>
      </c>
    </row>
    <row r="24" spans="1:10" ht="33.75" customHeight="1" x14ac:dyDescent="0.2">
      <c r="A24" s="164" t="s">
        <v>547</v>
      </c>
      <c r="B24" s="512" t="s">
        <v>546</v>
      </c>
      <c r="C24" s="513"/>
      <c r="D24" s="513"/>
      <c r="E24" s="716"/>
      <c r="F24" s="167">
        <v>7</v>
      </c>
    </row>
    <row r="25" spans="1:10" ht="25.5" x14ac:dyDescent="0.2">
      <c r="A25" s="160" t="s">
        <v>545</v>
      </c>
      <c r="B25" s="703" t="s">
        <v>544</v>
      </c>
      <c r="C25" s="704"/>
      <c r="D25" s="704"/>
      <c r="E25" s="705"/>
      <c r="F25" s="159">
        <f>F24*F23</f>
        <v>2865604.42</v>
      </c>
    </row>
    <row r="26" spans="1:10" ht="109.5" customHeight="1" thickTop="1" thickBot="1" x14ac:dyDescent="0.25">
      <c r="A26" s="166" t="s">
        <v>513</v>
      </c>
      <c r="B26" s="720" t="s">
        <v>593</v>
      </c>
      <c r="C26" s="721"/>
      <c r="D26" s="721"/>
      <c r="E26" s="722"/>
      <c r="F26" s="165">
        <f>IF(J115="Enter Pricing in PART 4: Column H","Enter Pricing in PART 4: Column H",J115)</f>
        <v>12332.096200000002</v>
      </c>
    </row>
    <row r="27" spans="1:10" ht="26.25" customHeight="1" thickTop="1" x14ac:dyDescent="0.2">
      <c r="A27" s="164" t="s">
        <v>542</v>
      </c>
      <c r="B27" s="497" t="s">
        <v>541</v>
      </c>
      <c r="C27" s="498"/>
      <c r="D27" s="498"/>
      <c r="E27" s="699"/>
      <c r="F27" s="163">
        <v>13900</v>
      </c>
    </row>
    <row r="28" spans="1:10" ht="57" customHeight="1" x14ac:dyDescent="0.2">
      <c r="A28" s="162" t="s">
        <v>41</v>
      </c>
      <c r="B28" s="700" t="s">
        <v>540</v>
      </c>
      <c r="C28" s="701"/>
      <c r="D28" s="701"/>
      <c r="E28" s="702"/>
      <c r="F28" s="161">
        <v>20</v>
      </c>
    </row>
    <row r="29" spans="1:10" ht="26.25" thickBot="1" x14ac:dyDescent="0.25">
      <c r="A29" s="160" t="s">
        <v>539</v>
      </c>
      <c r="B29" s="703" t="s">
        <v>538</v>
      </c>
      <c r="C29" s="704"/>
      <c r="D29" s="704"/>
      <c r="E29" s="705"/>
      <c r="F29" s="159">
        <f>F27*F24*(1-(F28/100))</f>
        <v>77840</v>
      </c>
    </row>
    <row r="30" spans="1:10" ht="106.5" customHeight="1" thickTop="1" thickBot="1" x14ac:dyDescent="0.25">
      <c r="A30" s="158" t="s">
        <v>537</v>
      </c>
      <c r="B30" s="729" t="s">
        <v>536</v>
      </c>
      <c r="C30" s="730"/>
      <c r="D30" s="730"/>
      <c r="E30" s="731"/>
      <c r="F30" s="157">
        <f>IF(OR(F23="",F26="Enter Pricing in PART 4: Column H",F28=""),"No Bid",(F25+F26+F29))</f>
        <v>2955776.5162</v>
      </c>
    </row>
    <row r="31" spans="1:10" ht="13.5" thickTop="1" x14ac:dyDescent="0.2">
      <c r="A31" s="156"/>
      <c r="B31" s="1"/>
      <c r="C31" s="1"/>
      <c r="D31" s="1"/>
      <c r="E31" s="12"/>
    </row>
    <row r="32" spans="1:10" s="7" customFormat="1" ht="15.75" customHeight="1" thickBot="1" x14ac:dyDescent="0.25">
      <c r="A32" s="717" t="s">
        <v>603</v>
      </c>
      <c r="B32" s="717"/>
      <c r="C32" s="717"/>
      <c r="D32" s="717"/>
      <c r="E32" s="717"/>
      <c r="F32" s="717"/>
      <c r="G32" s="717"/>
    </row>
    <row r="33" spans="1:5" s="3" customFormat="1" ht="26.25" thickBot="1" x14ac:dyDescent="0.3">
      <c r="A33" s="53" t="s">
        <v>6</v>
      </c>
      <c r="B33" s="53" t="s">
        <v>7</v>
      </c>
      <c r="C33" s="539" t="s">
        <v>604</v>
      </c>
      <c r="D33" s="582"/>
      <c r="E33" s="154" t="s">
        <v>511</v>
      </c>
    </row>
    <row r="34" spans="1:5" s="13" customFormat="1" ht="65.25" customHeight="1" thickBot="1" x14ac:dyDescent="0.3">
      <c r="A34" s="24" t="s">
        <v>8</v>
      </c>
      <c r="B34" s="24" t="s">
        <v>592</v>
      </c>
      <c r="C34" s="515" t="s">
        <v>118</v>
      </c>
      <c r="D34" s="685"/>
      <c r="E34" s="81">
        <v>26500</v>
      </c>
    </row>
    <row r="35" spans="1:5" s="13" customFormat="1" ht="15" customHeight="1" x14ac:dyDescent="0.25">
      <c r="A35" s="519" t="s">
        <v>21</v>
      </c>
      <c r="B35" s="519" t="s">
        <v>591</v>
      </c>
      <c r="C35" s="521" t="s">
        <v>67</v>
      </c>
      <c r="D35" s="718"/>
      <c r="E35" s="80">
        <v>8</v>
      </c>
    </row>
    <row r="36" spans="1:5" s="13" customFormat="1" ht="15.75" customHeight="1" thickBot="1" x14ac:dyDescent="0.3">
      <c r="A36" s="520"/>
      <c r="B36" s="520"/>
      <c r="C36" s="515" t="s">
        <v>68</v>
      </c>
      <c r="D36" s="685"/>
      <c r="E36" s="81">
        <v>48</v>
      </c>
    </row>
    <row r="37" spans="1:5" s="13" customFormat="1" ht="15.75" customHeight="1" thickBot="1" x14ac:dyDescent="0.3">
      <c r="A37" s="25" t="s">
        <v>123</v>
      </c>
      <c r="B37" s="25" t="s">
        <v>108</v>
      </c>
      <c r="C37" s="531"/>
      <c r="D37" s="686"/>
      <c r="E37" s="82"/>
    </row>
    <row r="38" spans="1:5" s="13" customFormat="1" ht="15" customHeight="1" x14ac:dyDescent="0.25">
      <c r="A38" s="519" t="s">
        <v>59</v>
      </c>
      <c r="B38" s="519"/>
      <c r="C38" s="521" t="s">
        <v>58</v>
      </c>
      <c r="D38" s="718"/>
      <c r="E38" s="80">
        <v>199</v>
      </c>
    </row>
    <row r="39" spans="1:5" s="13" customFormat="1" ht="15" customHeight="1" x14ac:dyDescent="0.25">
      <c r="A39" s="526"/>
      <c r="B39" s="526"/>
      <c r="C39" s="527" t="s">
        <v>57</v>
      </c>
      <c r="D39" s="683"/>
      <c r="E39" s="83">
        <v>359.7</v>
      </c>
    </row>
    <row r="40" spans="1:5" s="13" customFormat="1" ht="15" customHeight="1" x14ac:dyDescent="0.25">
      <c r="A40" s="526"/>
      <c r="B40" s="526"/>
      <c r="C40" s="527" t="s">
        <v>69</v>
      </c>
      <c r="D40" s="683"/>
      <c r="E40" s="83">
        <v>90</v>
      </c>
    </row>
    <row r="41" spans="1:5" s="13" customFormat="1" ht="15" customHeight="1" x14ac:dyDescent="0.25">
      <c r="A41" s="526"/>
      <c r="B41" s="526"/>
      <c r="C41" s="529" t="s">
        <v>70</v>
      </c>
      <c r="D41" s="684"/>
      <c r="E41" s="83">
        <v>78</v>
      </c>
    </row>
    <row r="42" spans="1:5" s="13" customFormat="1" ht="15.75" customHeight="1" thickBot="1" x14ac:dyDescent="0.3">
      <c r="A42" s="520"/>
      <c r="B42" s="520"/>
      <c r="C42" s="515" t="s">
        <v>111</v>
      </c>
      <c r="D42" s="685"/>
      <c r="E42" s="81">
        <v>315</v>
      </c>
    </row>
    <row r="43" spans="1:5" s="13" customFormat="1" ht="15.75" customHeight="1" thickBot="1" x14ac:dyDescent="0.3">
      <c r="A43" s="25" t="s">
        <v>224</v>
      </c>
      <c r="B43" s="25" t="s">
        <v>223</v>
      </c>
      <c r="C43" s="531"/>
      <c r="D43" s="686"/>
      <c r="E43" s="82"/>
    </row>
    <row r="44" spans="1:5" s="13" customFormat="1" ht="15" customHeight="1" x14ac:dyDescent="0.25">
      <c r="A44" s="519" t="s">
        <v>11</v>
      </c>
      <c r="B44" s="519"/>
      <c r="C44" s="521" t="s">
        <v>24</v>
      </c>
      <c r="D44" s="718"/>
      <c r="E44" s="80">
        <v>9000</v>
      </c>
    </row>
    <row r="45" spans="1:5" s="13" customFormat="1" ht="15.75" customHeight="1" thickBot="1" x14ac:dyDescent="0.3">
      <c r="A45" s="520"/>
      <c r="B45" s="520"/>
      <c r="C45" s="515" t="s">
        <v>22</v>
      </c>
      <c r="D45" s="685"/>
      <c r="E45" s="81">
        <v>10000</v>
      </c>
    </row>
    <row r="46" spans="1:5" s="13" customFormat="1" ht="15" customHeight="1" x14ac:dyDescent="0.25">
      <c r="A46" s="519" t="s">
        <v>16</v>
      </c>
      <c r="B46" s="519"/>
      <c r="C46" s="521" t="s">
        <v>24</v>
      </c>
      <c r="D46" s="718"/>
      <c r="E46" s="80">
        <v>17500</v>
      </c>
    </row>
    <row r="47" spans="1:5" s="13" customFormat="1" ht="15.75" customHeight="1" thickBot="1" x14ac:dyDescent="0.3">
      <c r="A47" s="520"/>
      <c r="B47" s="520"/>
      <c r="C47" s="523" t="s">
        <v>23</v>
      </c>
      <c r="D47" s="719"/>
      <c r="E47" s="81">
        <v>17500</v>
      </c>
    </row>
    <row r="48" spans="1:5" s="13" customFormat="1" ht="15.75" customHeight="1" thickBot="1" x14ac:dyDescent="0.3">
      <c r="A48" s="25" t="s">
        <v>52</v>
      </c>
      <c r="B48" s="25" t="s">
        <v>53</v>
      </c>
      <c r="C48" s="531"/>
      <c r="D48" s="686"/>
      <c r="E48" s="82"/>
    </row>
    <row r="49" spans="1:5" s="13" customFormat="1" ht="15" customHeight="1" x14ac:dyDescent="0.25">
      <c r="A49" s="519" t="s">
        <v>219</v>
      </c>
      <c r="B49" s="519" t="s">
        <v>590</v>
      </c>
      <c r="C49" s="521" t="s">
        <v>221</v>
      </c>
      <c r="D49" s="718"/>
      <c r="E49" s="195" t="s">
        <v>589</v>
      </c>
    </row>
    <row r="50" spans="1:5" s="13" customFormat="1" ht="15" customHeight="1" x14ac:dyDescent="0.25">
      <c r="A50" s="526"/>
      <c r="B50" s="526"/>
      <c r="C50" s="527" t="s">
        <v>220</v>
      </c>
      <c r="D50" s="683"/>
      <c r="E50" s="195" t="s">
        <v>588</v>
      </c>
    </row>
    <row r="51" spans="1:5" s="13" customFormat="1" ht="13.5" thickBot="1" x14ac:dyDescent="0.3">
      <c r="A51" s="526"/>
      <c r="B51" s="526"/>
      <c r="C51" s="523"/>
      <c r="D51" s="719"/>
      <c r="E51" s="89"/>
    </row>
    <row r="52" spans="1:5" s="13" customFormat="1" ht="15.75" customHeight="1" thickBot="1" x14ac:dyDescent="0.3">
      <c r="A52" s="25" t="s">
        <v>219</v>
      </c>
      <c r="B52" s="25" t="s">
        <v>218</v>
      </c>
      <c r="C52" s="531"/>
      <c r="D52" s="686"/>
      <c r="E52" s="82"/>
    </row>
    <row r="53" spans="1:5" s="13" customFormat="1" ht="30" customHeight="1" thickBot="1" x14ac:dyDescent="0.3">
      <c r="A53" s="542" t="s">
        <v>12</v>
      </c>
      <c r="B53" s="542" t="s">
        <v>142</v>
      </c>
      <c r="C53" s="521" t="s">
        <v>205</v>
      </c>
      <c r="D53" s="718"/>
      <c r="E53" s="192" t="s">
        <v>587</v>
      </c>
    </row>
    <row r="54" spans="1:5" s="13" customFormat="1" ht="30" customHeight="1" thickBot="1" x14ac:dyDescent="0.3">
      <c r="A54" s="542"/>
      <c r="B54" s="542"/>
      <c r="C54" s="527" t="s">
        <v>518</v>
      </c>
      <c r="D54" s="683"/>
      <c r="E54" s="194">
        <v>5840</v>
      </c>
    </row>
    <row r="55" spans="1:5" s="13" customFormat="1" ht="30" customHeight="1" thickBot="1" x14ac:dyDescent="0.3">
      <c r="A55" s="542"/>
      <c r="B55" s="542"/>
      <c r="C55" s="527" t="s">
        <v>203</v>
      </c>
      <c r="D55" s="683"/>
      <c r="E55" s="192" t="s">
        <v>586</v>
      </c>
    </row>
    <row r="56" spans="1:5" s="13" customFormat="1" ht="30" customHeight="1" thickBot="1" x14ac:dyDescent="0.3">
      <c r="A56" s="542"/>
      <c r="B56" s="542"/>
      <c r="C56" s="527" t="s">
        <v>534</v>
      </c>
      <c r="D56" s="683"/>
      <c r="E56" s="194">
        <v>5840</v>
      </c>
    </row>
    <row r="57" spans="1:5" s="13" customFormat="1" ht="15.75" customHeight="1" thickBot="1" x14ac:dyDescent="0.3">
      <c r="A57" s="542"/>
      <c r="B57" s="542"/>
      <c r="C57" s="527" t="s">
        <v>112</v>
      </c>
      <c r="D57" s="683"/>
      <c r="E57" s="193" t="s">
        <v>446</v>
      </c>
    </row>
    <row r="58" spans="1:5" s="13" customFormat="1" ht="15.75" customHeight="1" thickBot="1" x14ac:dyDescent="0.3">
      <c r="A58" s="542"/>
      <c r="B58" s="542"/>
      <c r="C58" s="527" t="s">
        <v>113</v>
      </c>
      <c r="D58" s="683"/>
      <c r="E58" s="192" t="s">
        <v>585</v>
      </c>
    </row>
    <row r="59" spans="1:5" s="13" customFormat="1" ht="15.75" customHeight="1" thickBot="1" x14ac:dyDescent="0.3">
      <c r="A59" s="542"/>
      <c r="B59" s="542"/>
      <c r="C59" s="529" t="s">
        <v>114</v>
      </c>
      <c r="D59" s="684"/>
      <c r="E59" s="192" t="s">
        <v>584</v>
      </c>
    </row>
    <row r="60" spans="1:5" s="13" customFormat="1" ht="15.75" customHeight="1" thickBot="1" x14ac:dyDescent="0.3">
      <c r="A60" s="542"/>
      <c r="B60" s="542"/>
      <c r="C60" s="515" t="s">
        <v>115</v>
      </c>
      <c r="D60" s="685"/>
      <c r="E60" s="192" t="s">
        <v>583</v>
      </c>
    </row>
    <row r="61" spans="1:5" s="13" customFormat="1" ht="15" customHeight="1" x14ac:dyDescent="0.25">
      <c r="A61" s="519" t="s">
        <v>10</v>
      </c>
      <c r="B61" s="519" t="s">
        <v>62</v>
      </c>
      <c r="C61" s="521" t="s">
        <v>116</v>
      </c>
      <c r="D61" s="718"/>
      <c r="E61" s="80">
        <v>2</v>
      </c>
    </row>
    <row r="62" spans="1:5" s="13" customFormat="1" ht="15" customHeight="1" x14ac:dyDescent="0.25">
      <c r="A62" s="526"/>
      <c r="B62" s="526"/>
      <c r="C62" s="527" t="s">
        <v>117</v>
      </c>
      <c r="D62" s="683"/>
      <c r="E62" s="83" t="s">
        <v>197</v>
      </c>
    </row>
    <row r="63" spans="1:5" s="13" customFormat="1" ht="15.75" customHeight="1" thickBot="1" x14ac:dyDescent="0.3">
      <c r="A63" s="526"/>
      <c r="B63" s="526"/>
      <c r="C63" s="523" t="s">
        <v>71</v>
      </c>
      <c r="D63" s="719"/>
      <c r="E63" s="89" t="s">
        <v>582</v>
      </c>
    </row>
    <row r="64" spans="1:5" s="13" customFormat="1" ht="39" thickBot="1" x14ac:dyDescent="0.3">
      <c r="A64" s="23" t="s">
        <v>185</v>
      </c>
      <c r="B64" s="23" t="s">
        <v>186</v>
      </c>
      <c r="C64" s="543" t="s">
        <v>187</v>
      </c>
      <c r="D64" s="690"/>
      <c r="E64" s="80" t="s">
        <v>581</v>
      </c>
    </row>
    <row r="65" spans="1:5" s="13" customFormat="1" ht="15" customHeight="1" x14ac:dyDescent="0.25">
      <c r="A65" s="519" t="s">
        <v>26</v>
      </c>
      <c r="B65" s="519"/>
      <c r="C65" s="529" t="s">
        <v>188</v>
      </c>
      <c r="D65" s="684"/>
      <c r="E65" s="80">
        <v>2</v>
      </c>
    </row>
    <row r="66" spans="1:5" s="13" customFormat="1" ht="15" customHeight="1" x14ac:dyDescent="0.25">
      <c r="A66" s="526"/>
      <c r="B66" s="526"/>
      <c r="C66" s="527" t="s">
        <v>189</v>
      </c>
      <c r="D66" s="683"/>
      <c r="E66" s="83" t="s">
        <v>580</v>
      </c>
    </row>
    <row r="67" spans="1:5" s="13" customFormat="1" ht="13.5" thickBot="1" x14ac:dyDescent="0.3">
      <c r="A67" s="520"/>
      <c r="B67" s="520"/>
      <c r="C67" s="523" t="s">
        <v>190</v>
      </c>
      <c r="D67" s="719"/>
      <c r="E67" s="81" t="s">
        <v>373</v>
      </c>
    </row>
    <row r="68" spans="1:5" s="13" customFormat="1" ht="13.5" thickBot="1" x14ac:dyDescent="0.3">
      <c r="A68" s="25" t="s">
        <v>44</v>
      </c>
      <c r="B68" s="25" t="s">
        <v>579</v>
      </c>
      <c r="C68" s="531"/>
      <c r="D68" s="686"/>
      <c r="E68" s="88"/>
    </row>
    <row r="69" spans="1:5" s="13" customFormat="1" ht="31.5" customHeight="1" thickBot="1" x14ac:dyDescent="0.3">
      <c r="A69" s="25" t="s">
        <v>44</v>
      </c>
      <c r="B69" s="25" t="s">
        <v>63</v>
      </c>
      <c r="C69" s="531"/>
      <c r="D69" s="686"/>
      <c r="E69" s="88"/>
    </row>
    <row r="70" spans="1:5" s="13" customFormat="1" ht="26.25" thickBot="1" x14ac:dyDescent="0.3">
      <c r="A70" s="25" t="s">
        <v>44</v>
      </c>
      <c r="B70" s="25" t="s">
        <v>64</v>
      </c>
      <c r="C70" s="531"/>
      <c r="D70" s="686"/>
      <c r="E70" s="88"/>
    </row>
    <row r="71" spans="1:5" s="13" customFormat="1" ht="26.25" thickBot="1" x14ac:dyDescent="0.3">
      <c r="A71" s="25" t="s">
        <v>50</v>
      </c>
      <c r="B71" s="25" t="s">
        <v>216</v>
      </c>
      <c r="C71" s="531"/>
      <c r="D71" s="686"/>
      <c r="E71" s="88"/>
    </row>
    <row r="72" spans="1:5" s="13" customFormat="1" ht="15.75" customHeight="1" thickBot="1" x14ac:dyDescent="0.3">
      <c r="A72" s="25" t="s">
        <v>27</v>
      </c>
      <c r="B72" s="25" t="s">
        <v>215</v>
      </c>
      <c r="C72" s="543" t="s">
        <v>77</v>
      </c>
      <c r="D72" s="690"/>
      <c r="E72" s="82" t="s">
        <v>452</v>
      </c>
    </row>
    <row r="73" spans="1:5" s="13" customFormat="1" ht="51.75" thickBot="1" x14ac:dyDescent="0.3">
      <c r="A73" s="25" t="s">
        <v>214</v>
      </c>
      <c r="B73" s="25" t="s">
        <v>213</v>
      </c>
      <c r="C73" s="531"/>
      <c r="D73" s="686"/>
      <c r="E73" s="88"/>
    </row>
    <row r="74" spans="1:5" s="13" customFormat="1" ht="39" thickBot="1" x14ac:dyDescent="0.3">
      <c r="A74" s="25" t="s">
        <v>51</v>
      </c>
      <c r="B74" s="25" t="s">
        <v>212</v>
      </c>
      <c r="C74" s="531"/>
      <c r="D74" s="686"/>
      <c r="E74" s="82"/>
    </row>
    <row r="75" spans="1:5" s="13" customFormat="1" ht="42" customHeight="1" thickBot="1" x14ac:dyDescent="0.3">
      <c r="A75" s="25" t="s">
        <v>54</v>
      </c>
      <c r="B75" s="25" t="s">
        <v>80</v>
      </c>
      <c r="C75" s="531"/>
      <c r="D75" s="686"/>
      <c r="E75" s="82"/>
    </row>
    <row r="76" spans="1:5" s="13" customFormat="1" ht="42" customHeight="1" thickBot="1" x14ac:dyDescent="0.3">
      <c r="A76" s="25" t="s">
        <v>29</v>
      </c>
      <c r="B76" s="25" t="s">
        <v>578</v>
      </c>
      <c r="C76" s="531"/>
      <c r="D76" s="686"/>
      <c r="E76" s="82"/>
    </row>
    <row r="77" spans="1:5" s="13" customFormat="1" ht="51.75" thickBot="1" x14ac:dyDescent="0.3">
      <c r="A77" s="25" t="s">
        <v>31</v>
      </c>
      <c r="B77" s="25" t="s">
        <v>210</v>
      </c>
      <c r="C77" s="543" t="s">
        <v>30</v>
      </c>
      <c r="D77" s="690"/>
      <c r="E77" s="82" t="s">
        <v>408</v>
      </c>
    </row>
    <row r="78" spans="1:5" s="13" customFormat="1" ht="26.25" thickBot="1" x14ac:dyDescent="0.3">
      <c r="A78" s="25" t="s">
        <v>55</v>
      </c>
      <c r="B78" s="25" t="s">
        <v>95</v>
      </c>
      <c r="C78" s="531"/>
      <c r="D78" s="686"/>
      <c r="E78" s="82" t="s">
        <v>453</v>
      </c>
    </row>
    <row r="79" spans="1:5" s="13" customFormat="1" ht="26.25" thickBot="1" x14ac:dyDescent="0.3">
      <c r="A79" s="25" t="s">
        <v>32</v>
      </c>
      <c r="B79" s="25" t="s">
        <v>96</v>
      </c>
      <c r="C79" s="543" t="s">
        <v>30</v>
      </c>
      <c r="D79" s="690"/>
      <c r="E79" s="82" t="s">
        <v>409</v>
      </c>
    </row>
    <row r="80" spans="1:5" s="13" customFormat="1" ht="39" thickBot="1" x14ac:dyDescent="0.3">
      <c r="A80" s="25" t="s">
        <v>56</v>
      </c>
      <c r="B80" s="25" t="s">
        <v>528</v>
      </c>
      <c r="C80" s="531"/>
      <c r="D80" s="686"/>
      <c r="E80" s="82"/>
    </row>
    <row r="81" spans="1:10" s="13" customFormat="1" ht="27.6" customHeight="1" thickBot="1" x14ac:dyDescent="0.3">
      <c r="A81" s="25" t="s">
        <v>48</v>
      </c>
      <c r="B81" s="25" t="s">
        <v>527</v>
      </c>
      <c r="C81" s="531"/>
      <c r="D81" s="686"/>
      <c r="E81" s="82"/>
    </row>
    <row r="82" spans="1:10" s="13" customFormat="1" ht="40.9" customHeight="1" thickBot="1" x14ac:dyDescent="0.3">
      <c r="A82" s="25" t="s">
        <v>49</v>
      </c>
      <c r="B82" s="25" t="s">
        <v>103</v>
      </c>
      <c r="C82" s="531" t="s">
        <v>526</v>
      </c>
      <c r="D82" s="686"/>
      <c r="E82" s="82" t="s">
        <v>577</v>
      </c>
    </row>
    <row r="83" spans="1:10" s="13" customFormat="1" ht="26.25" thickBot="1" x14ac:dyDescent="0.3">
      <c r="A83" s="25" t="s">
        <v>46</v>
      </c>
      <c r="B83" s="25" t="s">
        <v>81</v>
      </c>
      <c r="C83" s="531"/>
      <c r="D83" s="686"/>
      <c r="E83" s="82"/>
    </row>
    <row r="84" spans="1:10" ht="13.5" thickBot="1" x14ac:dyDescent="0.25"/>
    <row r="85" spans="1:10" s="16" customFormat="1" ht="18" customHeight="1" thickBot="1" x14ac:dyDescent="0.3">
      <c r="A85" s="620" t="s">
        <v>607</v>
      </c>
      <c r="B85" s="537"/>
      <c r="C85" s="537"/>
      <c r="D85" s="537"/>
      <c r="E85" s="537"/>
      <c r="F85" s="537"/>
      <c r="G85" s="537"/>
      <c r="H85" s="537"/>
      <c r="I85" s="537"/>
      <c r="J85" s="734"/>
    </row>
    <row r="86" spans="1:10" s="3" customFormat="1" ht="25.5" x14ac:dyDescent="0.25">
      <c r="A86" s="19" t="s">
        <v>33</v>
      </c>
      <c r="B86" s="19" t="s">
        <v>7</v>
      </c>
      <c r="C86" s="732" t="s">
        <v>604</v>
      </c>
      <c r="D86" s="732"/>
      <c r="E86" s="19" t="s">
        <v>511</v>
      </c>
      <c r="F86" s="19" t="s">
        <v>509</v>
      </c>
      <c r="G86" s="19" t="s">
        <v>524</v>
      </c>
      <c r="H86" s="19" t="s">
        <v>523</v>
      </c>
    </row>
    <row r="87" spans="1:10" s="13" customFormat="1" ht="41.25" customHeight="1" thickBot="1" x14ac:dyDescent="0.3">
      <c r="A87" s="18" t="s">
        <v>83</v>
      </c>
      <c r="B87" s="18" t="s">
        <v>146</v>
      </c>
      <c r="C87" s="562"/>
      <c r="D87" s="733"/>
      <c r="E87" s="81"/>
      <c r="F87" s="125">
        <v>-1088.78</v>
      </c>
      <c r="G87" s="142">
        <v>0.15</v>
      </c>
      <c r="H87" s="151">
        <f>IF(F87=0," 'Enter Pricing in Column H'",(F87*G87))</f>
        <v>-163.31699999999998</v>
      </c>
    </row>
    <row r="88" spans="1:10" s="13" customFormat="1" ht="26.25" thickBot="1" x14ac:dyDescent="0.3">
      <c r="A88" s="25" t="s">
        <v>34</v>
      </c>
      <c r="B88" s="25" t="s">
        <v>522</v>
      </c>
      <c r="C88" s="543" t="s">
        <v>30</v>
      </c>
      <c r="D88" s="690"/>
      <c r="E88" s="82" t="s">
        <v>576</v>
      </c>
      <c r="F88" s="139">
        <v>1020.87</v>
      </c>
      <c r="G88" s="138">
        <v>0.46</v>
      </c>
      <c r="H88" s="151">
        <f>IF(F88=0," 'Enter Pricing in Column H'",(F88*G88))</f>
        <v>469.60020000000003</v>
      </c>
    </row>
    <row r="89" spans="1:10" s="13" customFormat="1" ht="41.25" customHeight="1" thickBot="1" x14ac:dyDescent="0.3">
      <c r="A89" s="25" t="s">
        <v>35</v>
      </c>
      <c r="B89" s="25" t="s">
        <v>97</v>
      </c>
      <c r="C89" s="531"/>
      <c r="D89" s="686"/>
      <c r="E89" s="82"/>
      <c r="F89" s="139">
        <v>487.26</v>
      </c>
      <c r="G89" s="138">
        <v>1.86</v>
      </c>
      <c r="H89" s="151">
        <f>IF(F89=0," 'Enter Pricing in Column H'",(F89*G89))</f>
        <v>906.30360000000007</v>
      </c>
    </row>
    <row r="90" spans="1:10" s="13" customFormat="1" ht="51.75" thickBot="1" x14ac:dyDescent="0.3">
      <c r="A90" s="25" t="s">
        <v>36</v>
      </c>
      <c r="B90" s="25" t="s">
        <v>521</v>
      </c>
      <c r="C90" s="543" t="s">
        <v>99</v>
      </c>
      <c r="D90" s="690"/>
      <c r="E90" s="82" t="s">
        <v>575</v>
      </c>
      <c r="F90" s="139">
        <v>514.85</v>
      </c>
      <c r="G90" s="138">
        <v>0.06</v>
      </c>
      <c r="H90" s="151">
        <f>IF(F90=0," 'Enter Pricing in Column H'",(F90*G90))</f>
        <v>30.891000000000002</v>
      </c>
    </row>
    <row r="91" spans="1:10" s="13" customFormat="1" ht="30.75" customHeight="1" x14ac:dyDescent="0.25">
      <c r="A91" s="519" t="s">
        <v>60</v>
      </c>
      <c r="B91" s="519" t="s">
        <v>520</v>
      </c>
      <c r="C91" s="521" t="s">
        <v>203</v>
      </c>
      <c r="D91" s="718"/>
      <c r="E91" s="80" t="s">
        <v>413</v>
      </c>
      <c r="F91" s="647">
        <v>92.17</v>
      </c>
      <c r="G91" s="691">
        <v>1.73</v>
      </c>
      <c r="H91" s="687">
        <f>IF(F91=0," 'Enter Pricing in Column H'",(F91*G91))</f>
        <v>159.45410000000001</v>
      </c>
    </row>
    <row r="92" spans="1:10" s="13" customFormat="1" ht="29.25" customHeight="1" x14ac:dyDescent="0.25">
      <c r="A92" s="526"/>
      <c r="B92" s="526"/>
      <c r="C92" s="527" t="s">
        <v>517</v>
      </c>
      <c r="D92" s="683"/>
      <c r="E92" s="83">
        <v>6005</v>
      </c>
      <c r="F92" s="649"/>
      <c r="G92" s="692"/>
      <c r="H92" s="688"/>
    </row>
    <row r="93" spans="1:10" s="13" customFormat="1" ht="15" customHeight="1" x14ac:dyDescent="0.25">
      <c r="A93" s="526"/>
      <c r="B93" s="526"/>
      <c r="C93" s="527" t="s">
        <v>114</v>
      </c>
      <c r="D93" s="683"/>
      <c r="E93" s="83" t="s">
        <v>455</v>
      </c>
      <c r="F93" s="649"/>
      <c r="G93" s="692"/>
      <c r="H93" s="688"/>
    </row>
    <row r="94" spans="1:10" s="13" customFormat="1" ht="15.75" customHeight="1" thickBot="1" x14ac:dyDescent="0.3">
      <c r="A94" s="520"/>
      <c r="B94" s="520"/>
      <c r="C94" s="515" t="s">
        <v>115</v>
      </c>
      <c r="D94" s="685"/>
      <c r="E94" s="81" t="s">
        <v>456</v>
      </c>
      <c r="F94" s="648"/>
      <c r="G94" s="693"/>
      <c r="H94" s="689"/>
    </row>
    <row r="95" spans="1:10" s="13" customFormat="1" ht="30.75" customHeight="1" x14ac:dyDescent="0.25">
      <c r="A95" s="519" t="s">
        <v>61</v>
      </c>
      <c r="B95" s="519" t="s">
        <v>519</v>
      </c>
      <c r="C95" s="521" t="s">
        <v>205</v>
      </c>
      <c r="D95" s="718"/>
      <c r="E95" s="80" t="s">
        <v>413</v>
      </c>
      <c r="F95" s="647">
        <v>1529.68</v>
      </c>
      <c r="G95" s="691">
        <v>0.56000000000000005</v>
      </c>
      <c r="H95" s="687">
        <f>IF(F95=0," 'Enter Pricing in Column H'",(F95*G95))</f>
        <v>856.62080000000014</v>
      </c>
    </row>
    <row r="96" spans="1:10" s="13" customFormat="1" ht="29.25" customHeight="1" x14ac:dyDescent="0.25">
      <c r="A96" s="526"/>
      <c r="B96" s="526"/>
      <c r="C96" s="527" t="s">
        <v>518</v>
      </c>
      <c r="D96" s="683"/>
      <c r="E96" s="87">
        <v>6610</v>
      </c>
      <c r="F96" s="649"/>
      <c r="G96" s="692"/>
      <c r="H96" s="688"/>
    </row>
    <row r="97" spans="1:8" s="13" customFormat="1" ht="29.25" customHeight="1" x14ac:dyDescent="0.25">
      <c r="A97" s="526"/>
      <c r="B97" s="526"/>
      <c r="C97" s="527" t="s">
        <v>203</v>
      </c>
      <c r="D97" s="683"/>
      <c r="E97" s="87" t="s">
        <v>413</v>
      </c>
      <c r="F97" s="649"/>
      <c r="G97" s="692"/>
      <c r="H97" s="688"/>
    </row>
    <row r="98" spans="1:8" s="13" customFormat="1" ht="29.25" customHeight="1" x14ac:dyDescent="0.25">
      <c r="A98" s="526"/>
      <c r="B98" s="526"/>
      <c r="C98" s="527" t="s">
        <v>517</v>
      </c>
      <c r="D98" s="683"/>
      <c r="E98" s="83">
        <v>6005</v>
      </c>
      <c r="F98" s="649"/>
      <c r="G98" s="692"/>
      <c r="H98" s="688"/>
    </row>
    <row r="99" spans="1:8" s="13" customFormat="1" ht="15" customHeight="1" x14ac:dyDescent="0.25">
      <c r="A99" s="526"/>
      <c r="B99" s="526"/>
      <c r="C99" s="527" t="s">
        <v>112</v>
      </c>
      <c r="D99" s="683"/>
      <c r="E99" s="83" t="s">
        <v>414</v>
      </c>
      <c r="F99" s="649"/>
      <c r="G99" s="692"/>
      <c r="H99" s="688"/>
    </row>
    <row r="100" spans="1:8" s="13" customFormat="1" ht="15" customHeight="1" x14ac:dyDescent="0.25">
      <c r="A100" s="526"/>
      <c r="B100" s="526"/>
      <c r="C100" s="527" t="s">
        <v>113</v>
      </c>
      <c r="D100" s="683"/>
      <c r="E100" s="87" t="s">
        <v>415</v>
      </c>
      <c r="F100" s="649"/>
      <c r="G100" s="692"/>
      <c r="H100" s="688"/>
    </row>
    <row r="101" spans="1:8" s="13" customFormat="1" ht="15" customHeight="1" x14ac:dyDescent="0.25">
      <c r="A101" s="526"/>
      <c r="B101" s="526"/>
      <c r="C101" s="527" t="s">
        <v>114</v>
      </c>
      <c r="D101" s="683"/>
      <c r="E101" s="87" t="s">
        <v>574</v>
      </c>
      <c r="F101" s="649"/>
      <c r="G101" s="692"/>
      <c r="H101" s="688"/>
    </row>
    <row r="102" spans="1:8" s="13" customFormat="1" ht="15.75" customHeight="1" thickBot="1" x14ac:dyDescent="0.3">
      <c r="A102" s="520"/>
      <c r="B102" s="520"/>
      <c r="C102" s="515" t="s">
        <v>115</v>
      </c>
      <c r="D102" s="685"/>
      <c r="E102" s="81" t="s">
        <v>415</v>
      </c>
      <c r="F102" s="648"/>
      <c r="G102" s="693"/>
      <c r="H102" s="689"/>
    </row>
    <row r="103" spans="1:8" s="13" customFormat="1" ht="131.25" customHeight="1" thickBot="1" x14ac:dyDescent="0.3">
      <c r="A103" s="17" t="s">
        <v>86</v>
      </c>
      <c r="B103" s="17" t="s">
        <v>143</v>
      </c>
      <c r="C103" s="543" t="s">
        <v>104</v>
      </c>
      <c r="D103" s="690"/>
      <c r="E103" s="80" t="s">
        <v>417</v>
      </c>
      <c r="F103" s="139">
        <v>922.77</v>
      </c>
      <c r="G103" s="138">
        <v>0.4</v>
      </c>
      <c r="H103" s="137">
        <f>IF(F103=0," 'Enter Pricing in Column H'",(F103*G103))</f>
        <v>369.108</v>
      </c>
    </row>
    <row r="104" spans="1:8" ht="16.5" customHeight="1" x14ac:dyDescent="0.2">
      <c r="A104" s="519" t="s">
        <v>13</v>
      </c>
      <c r="B104" s="519" t="s">
        <v>98</v>
      </c>
      <c r="C104" s="521" t="s">
        <v>30</v>
      </c>
      <c r="D104" s="718"/>
      <c r="E104" s="80" t="s">
        <v>573</v>
      </c>
      <c r="F104" s="647">
        <v>11643.48</v>
      </c>
      <c r="G104" s="691">
        <v>0.12</v>
      </c>
      <c r="H104" s="687">
        <f>IF(F104=0," 'Enter Pricing in Column H'",(F104*G104))</f>
        <v>1397.2175999999999</v>
      </c>
    </row>
    <row r="105" spans="1:8" ht="37.5" customHeight="1" thickBot="1" x14ac:dyDescent="0.25">
      <c r="A105" s="520"/>
      <c r="B105" s="520"/>
      <c r="C105" s="515" t="s">
        <v>109</v>
      </c>
      <c r="D105" s="685"/>
      <c r="E105" s="81" t="s">
        <v>359</v>
      </c>
      <c r="F105" s="648"/>
      <c r="G105" s="693"/>
      <c r="H105" s="689"/>
    </row>
    <row r="106" spans="1:8" ht="51.75" thickBot="1" x14ac:dyDescent="0.25">
      <c r="A106" s="25" t="s">
        <v>37</v>
      </c>
      <c r="B106" s="25" t="s">
        <v>572</v>
      </c>
      <c r="C106" s="531" t="s">
        <v>30</v>
      </c>
      <c r="D106" s="686"/>
      <c r="E106" s="81" t="s">
        <v>375</v>
      </c>
      <c r="F106" s="125">
        <v>641.41</v>
      </c>
      <c r="G106" s="142">
        <v>0.19</v>
      </c>
      <c r="H106" s="137">
        <f t="shared" ref="H106:H111" si="0">IF(F106=0," 'Enter Pricing in Column H'",(F106*G106))</f>
        <v>121.86789999999999</v>
      </c>
    </row>
    <row r="107" spans="1:8" ht="26.25" thickBot="1" x14ac:dyDescent="0.25">
      <c r="A107" s="25" t="s">
        <v>38</v>
      </c>
      <c r="B107" s="25" t="s">
        <v>87</v>
      </c>
      <c r="C107" s="531"/>
      <c r="D107" s="686"/>
      <c r="E107" s="82"/>
      <c r="F107" s="139">
        <v>628.47</v>
      </c>
      <c r="G107" s="138">
        <v>2.6</v>
      </c>
      <c r="H107" s="137">
        <f t="shared" si="0"/>
        <v>1634.0220000000002</v>
      </c>
    </row>
    <row r="108" spans="1:8" ht="26.25" thickBot="1" x14ac:dyDescent="0.25">
      <c r="A108" s="25" t="s">
        <v>201</v>
      </c>
      <c r="B108" s="25" t="s">
        <v>200</v>
      </c>
      <c r="C108" s="531"/>
      <c r="D108" s="686"/>
      <c r="E108" s="82"/>
      <c r="F108" s="139">
        <v>0</v>
      </c>
      <c r="G108" s="138">
        <v>0.03</v>
      </c>
      <c r="H108" s="137" t="str">
        <f t="shared" si="0"/>
        <v xml:space="preserve"> 'Enter Pricing in Column H'</v>
      </c>
    </row>
    <row r="109" spans="1:8" ht="26.25" thickBot="1" x14ac:dyDescent="0.25">
      <c r="A109" s="25" t="s">
        <v>39</v>
      </c>
      <c r="B109" s="25" t="s">
        <v>106</v>
      </c>
      <c r="C109" s="543" t="s">
        <v>105</v>
      </c>
      <c r="D109" s="690"/>
      <c r="E109" s="82" t="s">
        <v>323</v>
      </c>
      <c r="F109" s="139">
        <v>508.82</v>
      </c>
      <c r="G109" s="138">
        <v>0.37</v>
      </c>
      <c r="H109" s="137">
        <f t="shared" si="0"/>
        <v>188.26339999999999</v>
      </c>
    </row>
    <row r="110" spans="1:8" ht="43.5" customHeight="1" thickBot="1" x14ac:dyDescent="0.25">
      <c r="A110" s="25" t="s">
        <v>40</v>
      </c>
      <c r="B110" s="25" t="s">
        <v>137</v>
      </c>
      <c r="C110" s="543" t="s">
        <v>100</v>
      </c>
      <c r="D110" s="690"/>
      <c r="E110" s="81" t="s">
        <v>376</v>
      </c>
      <c r="F110" s="139">
        <v>354.66</v>
      </c>
      <c r="G110" s="138">
        <v>0.56000000000000005</v>
      </c>
      <c r="H110" s="137">
        <f t="shared" si="0"/>
        <v>198.60960000000003</v>
      </c>
    </row>
    <row r="111" spans="1:8" ht="39" customHeight="1" thickBot="1" x14ac:dyDescent="0.25">
      <c r="A111" s="519" t="s">
        <v>14</v>
      </c>
      <c r="B111" s="519" t="s">
        <v>138</v>
      </c>
      <c r="C111" s="543" t="s">
        <v>139</v>
      </c>
      <c r="D111" s="690"/>
      <c r="E111" s="80">
        <v>2</v>
      </c>
      <c r="F111" s="647">
        <v>41100.910000000003</v>
      </c>
      <c r="G111" s="691">
        <v>0.15</v>
      </c>
      <c r="H111" s="687">
        <f t="shared" si="0"/>
        <v>6165.1365000000005</v>
      </c>
    </row>
    <row r="112" spans="1:8" ht="55.9" customHeight="1" thickBot="1" x14ac:dyDescent="0.25">
      <c r="A112" s="520"/>
      <c r="B112" s="520"/>
      <c r="C112" s="543" t="s">
        <v>274</v>
      </c>
      <c r="D112" s="690"/>
      <c r="E112" s="81" t="s">
        <v>275</v>
      </c>
      <c r="F112" s="648"/>
      <c r="G112" s="693"/>
      <c r="H112" s="689"/>
    </row>
    <row r="113" spans="1:10" ht="65.25" customHeight="1" thickBot="1" x14ac:dyDescent="0.25">
      <c r="A113" s="25" t="s">
        <v>91</v>
      </c>
      <c r="B113" s="25" t="s">
        <v>144</v>
      </c>
      <c r="C113" s="543" t="s">
        <v>100</v>
      </c>
      <c r="D113" s="690"/>
      <c r="E113" s="82" t="s">
        <v>361</v>
      </c>
      <c r="F113" s="139">
        <v>2124.7399999999998</v>
      </c>
      <c r="G113" s="138">
        <v>0.03</v>
      </c>
      <c r="H113" s="137">
        <f>IF(F113=0," 'Enter Pricing in Column H'",(F113*G113))</f>
        <v>63.74219999999999</v>
      </c>
    </row>
    <row r="114" spans="1:10" ht="52.5" customHeight="1" thickBot="1" x14ac:dyDescent="0.25">
      <c r="A114" s="25" t="s">
        <v>92</v>
      </c>
      <c r="B114" s="25" t="s">
        <v>145</v>
      </c>
      <c r="C114" s="531"/>
      <c r="D114" s="686"/>
      <c r="E114" s="82"/>
      <c r="F114" s="139">
        <v>-2180.79</v>
      </c>
      <c r="G114" s="138">
        <v>0.03</v>
      </c>
      <c r="H114" s="137">
        <f>IF(F114=0," 'Enter Pricing in Column H'",(F114*G114))</f>
        <v>-65.423699999999997</v>
      </c>
    </row>
    <row r="115" spans="1:10" ht="42.75" customHeight="1" thickBot="1" x14ac:dyDescent="0.25">
      <c r="G115" s="723" t="s">
        <v>513</v>
      </c>
      <c r="H115" s="724"/>
      <c r="I115" s="725"/>
      <c r="J115" s="136">
        <f>IF(COUNT(F87:F103,F104:F114)=16,SUM(H87:H103,H104:H114),"Enter Pricing in PART 4: Column H")</f>
        <v>12332.096200000002</v>
      </c>
    </row>
    <row r="116" spans="1:10" ht="13.5" thickBot="1" x14ac:dyDescent="0.25"/>
    <row r="117" spans="1:10" s="16" customFormat="1" ht="18.75" thickBot="1" x14ac:dyDescent="0.3">
      <c r="A117" s="536" t="s">
        <v>608</v>
      </c>
      <c r="B117" s="537"/>
      <c r="C117" s="537"/>
      <c r="D117" s="537"/>
      <c r="E117" s="537"/>
      <c r="F117" s="537"/>
      <c r="G117" s="537"/>
      <c r="H117" s="537"/>
      <c r="I117" s="537"/>
      <c r="J117" s="538"/>
    </row>
    <row r="118" spans="1:10" ht="26.25" customHeight="1" thickBot="1" x14ac:dyDescent="0.25">
      <c r="A118" s="135" t="s">
        <v>33</v>
      </c>
      <c r="B118" s="133" t="s">
        <v>7</v>
      </c>
      <c r="C118" s="582" t="s">
        <v>605</v>
      </c>
      <c r="D118" s="547"/>
      <c r="E118" s="134" t="s">
        <v>511</v>
      </c>
      <c r="F118" s="45" t="s">
        <v>509</v>
      </c>
      <c r="H118" s="9"/>
    </row>
    <row r="119" spans="1:10" ht="240.75" customHeight="1" thickBot="1" x14ac:dyDescent="0.25">
      <c r="A119" s="24" t="s">
        <v>85</v>
      </c>
      <c r="B119" s="132" t="s">
        <v>508</v>
      </c>
      <c r="C119" s="678" t="s">
        <v>104</v>
      </c>
      <c r="D119" s="679"/>
      <c r="E119" s="82" t="s">
        <v>418</v>
      </c>
      <c r="F119" s="125">
        <v>7517.97</v>
      </c>
      <c r="H119" s="9"/>
    </row>
    <row r="120" spans="1:10" ht="39" thickBot="1" x14ac:dyDescent="0.25">
      <c r="A120" s="25" t="s">
        <v>272</v>
      </c>
      <c r="B120" s="25" t="s">
        <v>506</v>
      </c>
      <c r="C120" s="91"/>
      <c r="D120" s="124"/>
      <c r="E120" s="82"/>
      <c r="F120" s="123"/>
      <c r="G120" s="122"/>
      <c r="H120" s="121"/>
    </row>
  </sheetData>
  <dataConsolidate/>
  <mergeCells count="149">
    <mergeCell ref="B18:E18"/>
    <mergeCell ref="B19:E19"/>
    <mergeCell ref="B15:E15"/>
    <mergeCell ref="B16:E16"/>
    <mergeCell ref="B17:E17"/>
    <mergeCell ref="A3:E3"/>
    <mergeCell ref="A4:E4"/>
    <mergeCell ref="A5:E5"/>
    <mergeCell ref="A32:G32"/>
    <mergeCell ref="A21:F21"/>
    <mergeCell ref="B22:E22"/>
    <mergeCell ref="B23:E23"/>
    <mergeCell ref="B24:E24"/>
    <mergeCell ref="B25:E25"/>
    <mergeCell ref="B26:E26"/>
    <mergeCell ref="A6:G6"/>
    <mergeCell ref="B12:E12"/>
    <mergeCell ref="B13:E13"/>
    <mergeCell ref="B14:E14"/>
    <mergeCell ref="B7:E7"/>
    <mergeCell ref="B8:E8"/>
    <mergeCell ref="B9:E9"/>
    <mergeCell ref="B10:E10"/>
    <mergeCell ref="B11:E11"/>
    <mergeCell ref="C33:D33"/>
    <mergeCell ref="C34:D34"/>
    <mergeCell ref="B27:E27"/>
    <mergeCell ref="B28:E28"/>
    <mergeCell ref="B29:E29"/>
    <mergeCell ref="B30:E30"/>
    <mergeCell ref="C43:D43"/>
    <mergeCell ref="A35:A36"/>
    <mergeCell ref="B35:B36"/>
    <mergeCell ref="C35:D35"/>
    <mergeCell ref="C36:D36"/>
    <mergeCell ref="C37:D37"/>
    <mergeCell ref="C40:D40"/>
    <mergeCell ref="C41:D41"/>
    <mergeCell ref="C42:D42"/>
    <mergeCell ref="A44:A45"/>
    <mergeCell ref="B44:B45"/>
    <mergeCell ref="C44:D44"/>
    <mergeCell ref="C45:D45"/>
    <mergeCell ref="A38:A42"/>
    <mergeCell ref="B38:B42"/>
    <mergeCell ref="C38:D38"/>
    <mergeCell ref="C39:D39"/>
    <mergeCell ref="A46:A47"/>
    <mergeCell ref="B46:B47"/>
    <mergeCell ref="C46:D46"/>
    <mergeCell ref="C47:D47"/>
    <mergeCell ref="C48:D48"/>
    <mergeCell ref="A49:A51"/>
    <mergeCell ref="B49:B51"/>
    <mergeCell ref="C49:D49"/>
    <mergeCell ref="C50:D50"/>
    <mergeCell ref="C51:D51"/>
    <mergeCell ref="C52:D52"/>
    <mergeCell ref="A53:A60"/>
    <mergeCell ref="B53:B60"/>
    <mergeCell ref="C53:D53"/>
    <mergeCell ref="C54:D54"/>
    <mergeCell ref="C55:D55"/>
    <mergeCell ref="C56:D56"/>
    <mergeCell ref="C57:D57"/>
    <mergeCell ref="C58:D58"/>
    <mergeCell ref="C59:D59"/>
    <mergeCell ref="C60:D60"/>
    <mergeCell ref="A61:A63"/>
    <mergeCell ref="B61:B63"/>
    <mergeCell ref="C61:D61"/>
    <mergeCell ref="C62:D62"/>
    <mergeCell ref="C63:D63"/>
    <mergeCell ref="C64:D64"/>
    <mergeCell ref="A65:A67"/>
    <mergeCell ref="B65:B67"/>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6:D86"/>
    <mergeCell ref="C87:D87"/>
    <mergeCell ref="C88:D88"/>
    <mergeCell ref="C80:D80"/>
    <mergeCell ref="C81:D81"/>
    <mergeCell ref="C82:D82"/>
    <mergeCell ref="C83:D83"/>
    <mergeCell ref="A85:J85"/>
    <mergeCell ref="C89:D89"/>
    <mergeCell ref="C90:D90"/>
    <mergeCell ref="A91:A94"/>
    <mergeCell ref="B91:B94"/>
    <mergeCell ref="C91:D91"/>
    <mergeCell ref="F95:F102"/>
    <mergeCell ref="G95:G102"/>
    <mergeCell ref="F91:F94"/>
    <mergeCell ref="G91:G94"/>
    <mergeCell ref="H91:H94"/>
    <mergeCell ref="C92:D92"/>
    <mergeCell ref="C93:D93"/>
    <mergeCell ref="C94:D94"/>
    <mergeCell ref="H95:H102"/>
    <mergeCell ref="C100:D100"/>
    <mergeCell ref="C101:D101"/>
    <mergeCell ref="C102:D102"/>
    <mergeCell ref="A95:A102"/>
    <mergeCell ref="B95:B102"/>
    <mergeCell ref="C95:D95"/>
    <mergeCell ref="C103:D103"/>
    <mergeCell ref="A104:A105"/>
    <mergeCell ref="B104:B105"/>
    <mergeCell ref="C104:D104"/>
    <mergeCell ref="C96:D96"/>
    <mergeCell ref="C97:D97"/>
    <mergeCell ref="C98:D98"/>
    <mergeCell ref="C99:D99"/>
    <mergeCell ref="G111:G112"/>
    <mergeCell ref="A111:A112"/>
    <mergeCell ref="B111:B112"/>
    <mergeCell ref="F104:F105"/>
    <mergeCell ref="G104:G105"/>
    <mergeCell ref="C119:D119"/>
    <mergeCell ref="G115:I115"/>
    <mergeCell ref="C108:D108"/>
    <mergeCell ref="C109:D109"/>
    <mergeCell ref="C110:D110"/>
    <mergeCell ref="C111:D111"/>
    <mergeCell ref="C113:D113"/>
    <mergeCell ref="H111:H112"/>
    <mergeCell ref="H104:H105"/>
    <mergeCell ref="C105:D105"/>
    <mergeCell ref="C106:D106"/>
    <mergeCell ref="C107:D107"/>
    <mergeCell ref="F111:F112"/>
    <mergeCell ref="C114:D114"/>
    <mergeCell ref="C112:D112"/>
    <mergeCell ref="A117:J117"/>
    <mergeCell ref="C118:D118"/>
  </mergeCells>
  <conditionalFormatting sqref="C70">
    <cfRule type="expression" dxfId="73" priority="18">
      <formula>#REF!="NO"</formula>
    </cfRule>
  </conditionalFormatting>
  <conditionalFormatting sqref="C112">
    <cfRule type="expression" dxfId="72" priority="11">
      <formula>$F$2="NO"</formula>
    </cfRule>
  </conditionalFormatting>
  <conditionalFormatting sqref="C34:E81 C82 C83:E83 C87:H111 C113:H114 C119:F120 C120:H120">
    <cfRule type="expression" dxfId="71" priority="9">
      <formula>$F$2="NO"</formula>
    </cfRule>
  </conditionalFormatting>
  <conditionalFormatting sqref="E64">
    <cfRule type="expression" dxfId="70" priority="14">
      <formula>#REF!="NO"</formula>
    </cfRule>
  </conditionalFormatting>
  <conditionalFormatting sqref="E70">
    <cfRule type="expression" dxfId="69" priority="16">
      <formula>#REF!="NO"</formula>
    </cfRule>
  </conditionalFormatting>
  <conditionalFormatting sqref="E71:E83">
    <cfRule type="expression" dxfId="68" priority="10">
      <formula>$F$2="NO"</formula>
    </cfRule>
  </conditionalFormatting>
  <conditionalFormatting sqref="F9:F19">
    <cfRule type="expression" dxfId="67" priority="17">
      <formula>$F$2="NO"</formula>
    </cfRule>
  </conditionalFormatting>
  <conditionalFormatting sqref="F23:F30">
    <cfRule type="expression" dxfId="66" priority="1">
      <formula>$F$2="NO"</formula>
    </cfRule>
    <cfRule type="expression" dxfId="65" priority="2">
      <formula>#REF!="NO"</formula>
    </cfRule>
  </conditionalFormatting>
  <conditionalFormatting sqref="F8:G19 E112">
    <cfRule type="expression" dxfId="64" priority="13">
      <formula>$F$2="NO"</formula>
    </cfRule>
  </conditionalFormatting>
  <conditionalFormatting sqref="G8">
    <cfRule type="expression" dxfId="63" priority="12">
      <formula>$F$2="NO"</formula>
    </cfRule>
  </conditionalFormatting>
  <conditionalFormatting sqref="H87:H111">
    <cfRule type="expression" dxfId="62" priority="4">
      <formula>$E$2="NO"</formula>
    </cfRule>
  </conditionalFormatting>
  <conditionalFormatting sqref="H113:H114 H120">
    <cfRule type="expression" dxfId="61" priority="5">
      <formula>$E$2="NO"</formula>
    </cfRule>
  </conditionalFormatting>
  <dataValidations count="3">
    <dataValidation type="decimal" allowBlank="1" showInputMessage="1" showErrorMessage="1" error="The Additional Options NYS Discount entered must be greater than 0%, or less than or equal to 100%." sqref="F28" xr:uid="{1B896095-C9B8-4E0D-BDCA-7D8112E70C79}">
      <formula1>0.01</formula1>
      <formula2>100</formula2>
    </dataValidation>
    <dataValidation type="decimal" allowBlank="1" showInputMessage="1" showErrorMessage="1" error="Invalid Entry - Bidder must enter a value that is greater than $0" sqref="F23" xr:uid="{55ED4E30-A0B8-4902-9AD3-71D01343DB6C}">
      <formula1>0</formula1>
      <formula2>9E+21</formula2>
    </dataValidation>
    <dataValidation type="decimal" operator="greaterThanOrEqual" allowBlank="1" showInputMessage="1" showErrorMessage="1" error="The Pickup Allowance cannot be a negative number." sqref="F18:G18" xr:uid="{51F57C5E-DB94-422A-9C73-0DC3E35A0251}">
      <formula1>0</formula1>
    </dataValidation>
  </dataValidations>
  <pageMargins left="0.25" right="0.25" top="0.75" bottom="0.25" header="0.3" footer="0.3"/>
  <pageSetup scale="56"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tabColor theme="5"/>
  </sheetPr>
  <dimension ref="A1:F127"/>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412" customWidth="1"/>
  </cols>
  <sheetData>
    <row r="1" spans="1:6" s="2" customFormat="1" ht="12.75" x14ac:dyDescent="0.2">
      <c r="A1" s="300" t="str">
        <f>'A (Item 2-G)'!$A$1</f>
        <v>GROUP 40524-23254, SCHOOL BUSES (Statewide)                                                             Attachment 1 - Specifications and Pricing (Revised October 15, 2026)</v>
      </c>
      <c r="F1" s="301"/>
    </row>
    <row r="2" spans="1:6" ht="15.75" thickBot="1" x14ac:dyDescent="0.3">
      <c r="A2" s="302" t="str">
        <f>'Attachment 1 - Summary'!B2</f>
        <v>PC69863 Nesco Bus and Truck Sales, Inc.</v>
      </c>
      <c r="B2" s="21"/>
      <c r="C2" s="21"/>
      <c r="D2" s="21"/>
      <c r="E2" s="21"/>
      <c r="F2" s="303"/>
    </row>
    <row r="3" spans="1:6" ht="24" thickBot="1" x14ac:dyDescent="0.3">
      <c r="A3" s="750" t="s">
        <v>271</v>
      </c>
      <c r="B3" s="751"/>
      <c r="C3" s="751"/>
      <c r="D3" s="752"/>
    </row>
    <row r="4" spans="1:6" ht="39.950000000000003" customHeight="1" thickBot="1" x14ac:dyDescent="0.3">
      <c r="A4" s="506" t="s">
        <v>438</v>
      </c>
      <c r="B4" s="507"/>
      <c r="C4" s="507"/>
      <c r="D4" s="508"/>
    </row>
    <row r="5" spans="1:6" ht="15.75" thickBot="1" x14ac:dyDescent="0.3">
      <c r="A5" s="411"/>
      <c r="B5" s="411"/>
      <c r="C5" s="411"/>
      <c r="D5" s="411"/>
      <c r="E5" s="411"/>
      <c r="F5" s="413"/>
    </row>
    <row r="6" spans="1:6" ht="16.5" thickBot="1" x14ac:dyDescent="0.3">
      <c r="A6" s="509" t="s">
        <v>151</v>
      </c>
      <c r="B6" s="510"/>
      <c r="C6" s="510"/>
      <c r="D6" s="511"/>
      <c r="E6" s="31"/>
      <c r="F6" s="414" t="s">
        <v>389</v>
      </c>
    </row>
    <row r="7" spans="1:6" ht="15.75" thickBot="1" x14ac:dyDescent="0.3">
      <c r="A7" s="37" t="s">
        <v>6</v>
      </c>
      <c r="B7" s="22" t="s">
        <v>165</v>
      </c>
      <c r="C7" s="27"/>
      <c r="D7" s="35"/>
      <c r="E7" s="32"/>
      <c r="F7" s="470" t="s">
        <v>184</v>
      </c>
    </row>
    <row r="8" spans="1:6" ht="90" customHeight="1" thickTop="1" thickBot="1" x14ac:dyDescent="0.3">
      <c r="A8" s="38" t="s">
        <v>185</v>
      </c>
      <c r="B8" s="500" t="s">
        <v>439</v>
      </c>
      <c r="C8" s="501"/>
      <c r="D8" s="502"/>
      <c r="E8" s="13"/>
      <c r="F8" s="471" t="s">
        <v>440</v>
      </c>
    </row>
    <row r="9" spans="1:6" ht="38.450000000000003" customHeight="1" thickTop="1" thickBot="1" x14ac:dyDescent="0.3">
      <c r="A9" s="38" t="s">
        <v>229</v>
      </c>
      <c r="B9" s="500" t="s">
        <v>230</v>
      </c>
      <c r="C9" s="501"/>
      <c r="D9" s="502"/>
      <c r="E9" s="13"/>
      <c r="F9" s="472" t="s">
        <v>436</v>
      </c>
    </row>
    <row r="10" spans="1:6" ht="15.75" thickTop="1" x14ac:dyDescent="0.25">
      <c r="A10" s="39" t="s">
        <v>0</v>
      </c>
      <c r="B10" s="491" t="s">
        <v>154</v>
      </c>
      <c r="C10" s="492"/>
      <c r="D10" s="493"/>
      <c r="E10" s="13"/>
      <c r="F10" s="419" t="s">
        <v>392</v>
      </c>
    </row>
    <row r="11" spans="1:6" x14ac:dyDescent="0.25">
      <c r="A11" s="39" t="s">
        <v>1</v>
      </c>
      <c r="B11" s="491" t="s">
        <v>228</v>
      </c>
      <c r="C11" s="492"/>
      <c r="D11" s="493"/>
      <c r="E11" s="13"/>
      <c r="F11" s="334" t="s">
        <v>393</v>
      </c>
    </row>
    <row r="12" spans="1:6" ht="26.25" thickBot="1" x14ac:dyDescent="0.3">
      <c r="A12" s="40" t="s">
        <v>2</v>
      </c>
      <c r="B12" s="494" t="s">
        <v>155</v>
      </c>
      <c r="C12" s="495"/>
      <c r="D12" s="496"/>
      <c r="E12" s="13"/>
      <c r="F12" s="336" t="s">
        <v>441</v>
      </c>
    </row>
    <row r="13" spans="1:6" ht="15.75" thickTop="1" x14ac:dyDescent="0.25">
      <c r="A13" s="39" t="s">
        <v>3</v>
      </c>
      <c r="B13" s="491" t="s">
        <v>157</v>
      </c>
      <c r="C13" s="492"/>
      <c r="D13" s="493"/>
      <c r="E13" s="13"/>
      <c r="F13" s="334" t="s">
        <v>334</v>
      </c>
    </row>
    <row r="14" spans="1:6" x14ac:dyDescent="0.25">
      <c r="A14" s="39" t="s">
        <v>4</v>
      </c>
      <c r="B14" s="491" t="s">
        <v>227</v>
      </c>
      <c r="C14" s="492"/>
      <c r="D14" s="493"/>
      <c r="E14" s="13"/>
      <c r="F14" s="334" t="s">
        <v>395</v>
      </c>
    </row>
    <row r="15" spans="1:6" ht="15.75" thickBot="1" x14ac:dyDescent="0.3">
      <c r="A15" s="41" t="s">
        <v>5</v>
      </c>
      <c r="B15" s="494" t="s">
        <v>158</v>
      </c>
      <c r="C15" s="495"/>
      <c r="D15" s="496"/>
      <c r="E15" s="13"/>
      <c r="F15" s="341" t="s">
        <v>442</v>
      </c>
    </row>
    <row r="16" spans="1:6" ht="27.95" customHeight="1" thickTop="1" x14ac:dyDescent="0.25">
      <c r="A16" s="39" t="s">
        <v>101</v>
      </c>
      <c r="B16" s="497" t="s">
        <v>226</v>
      </c>
      <c r="C16" s="498"/>
      <c r="D16" s="499"/>
      <c r="E16" s="13"/>
      <c r="F16" s="342">
        <v>100</v>
      </c>
    </row>
    <row r="17" spans="1:6" ht="27.6" customHeight="1" thickBot="1" x14ac:dyDescent="0.3">
      <c r="A17" s="41" t="s">
        <v>43</v>
      </c>
      <c r="B17" s="494" t="s">
        <v>225</v>
      </c>
      <c r="C17" s="495"/>
      <c r="D17" s="496"/>
      <c r="E17" s="13"/>
      <c r="F17" s="341" t="s">
        <v>443</v>
      </c>
    </row>
    <row r="18" spans="1:6" ht="16.5" thickTop="1" thickBot="1" x14ac:dyDescent="0.3"/>
    <row r="19" spans="1:6" ht="16.5" thickBot="1" x14ac:dyDescent="0.3">
      <c r="A19" s="509" t="s">
        <v>150</v>
      </c>
      <c r="B19" s="510"/>
      <c r="C19" s="510"/>
      <c r="D19" s="511"/>
      <c r="E19" s="31"/>
      <c r="F19" s="414" t="s">
        <v>389</v>
      </c>
    </row>
    <row r="20" spans="1:6" ht="15.75" thickBot="1" x14ac:dyDescent="0.3">
      <c r="A20" s="52" t="s">
        <v>6</v>
      </c>
      <c r="B20" s="26" t="s">
        <v>165</v>
      </c>
      <c r="C20" s="28"/>
      <c r="D20" s="45"/>
      <c r="E20" s="32"/>
      <c r="F20" s="415" t="s">
        <v>184</v>
      </c>
    </row>
    <row r="21" spans="1:6" ht="26.1" customHeight="1" x14ac:dyDescent="0.25">
      <c r="A21" s="42" t="s">
        <v>42</v>
      </c>
      <c r="B21" s="512" t="s">
        <v>161</v>
      </c>
      <c r="C21" s="513"/>
      <c r="D21" s="514"/>
      <c r="F21" s="452">
        <f>395685.53*('PPI Adj'!D6)</f>
        <v>461765.01351000002</v>
      </c>
    </row>
    <row r="22" spans="1:6" ht="26.25" thickBot="1" x14ac:dyDescent="0.3">
      <c r="A22" s="43" t="s">
        <v>41</v>
      </c>
      <c r="B22" s="533" t="s">
        <v>163</v>
      </c>
      <c r="C22" s="534"/>
      <c r="D22" s="535"/>
      <c r="F22" s="454">
        <v>20</v>
      </c>
    </row>
    <row r="23" spans="1:6" ht="15.75" thickBot="1" x14ac:dyDescent="0.3"/>
    <row r="24" spans="1:6" ht="15.95" customHeight="1" thickBot="1" x14ac:dyDescent="0.3">
      <c r="A24" s="536" t="s">
        <v>164</v>
      </c>
      <c r="B24" s="537"/>
      <c r="C24" s="537"/>
      <c r="D24" s="538"/>
      <c r="E24" s="33"/>
      <c r="F24" s="414" t="s">
        <v>389</v>
      </c>
    </row>
    <row r="25" spans="1:6" ht="15" customHeight="1" thickBot="1" x14ac:dyDescent="0.3">
      <c r="A25" s="52" t="s">
        <v>6</v>
      </c>
      <c r="B25" s="53" t="s">
        <v>7</v>
      </c>
      <c r="C25" s="539" t="s">
        <v>165</v>
      </c>
      <c r="D25" s="540"/>
      <c r="E25" s="34"/>
      <c r="F25" s="415" t="s">
        <v>184</v>
      </c>
    </row>
    <row r="26" spans="1:6" ht="79.5" customHeight="1" thickBot="1" x14ac:dyDescent="0.3">
      <c r="A26" s="46" t="s">
        <v>8</v>
      </c>
      <c r="B26" s="24" t="s">
        <v>257</v>
      </c>
      <c r="C26" s="515" t="s">
        <v>118</v>
      </c>
      <c r="D26" s="516"/>
      <c r="E26" s="29"/>
      <c r="F26" s="373">
        <v>29000</v>
      </c>
    </row>
    <row r="27" spans="1:6" x14ac:dyDescent="0.25">
      <c r="A27" s="517" t="s">
        <v>21</v>
      </c>
      <c r="B27" s="519" t="s">
        <v>261</v>
      </c>
      <c r="C27" s="521" t="s">
        <v>67</v>
      </c>
      <c r="D27" s="522"/>
      <c r="E27" s="29"/>
      <c r="F27" s="367">
        <v>11</v>
      </c>
    </row>
    <row r="28" spans="1:6" ht="15" customHeight="1" thickBot="1" x14ac:dyDescent="0.3">
      <c r="A28" s="518"/>
      <c r="B28" s="520"/>
      <c r="C28" s="515" t="s">
        <v>68</v>
      </c>
      <c r="D28" s="516"/>
      <c r="E28" s="29"/>
      <c r="F28" s="343">
        <v>64</v>
      </c>
    </row>
    <row r="29" spans="1:6" ht="15.75" thickBot="1" x14ac:dyDescent="0.3">
      <c r="A29" s="47" t="s">
        <v>123</v>
      </c>
      <c r="B29" s="25" t="s">
        <v>108</v>
      </c>
      <c r="C29" s="531"/>
      <c r="D29" s="532"/>
      <c r="E29" s="30"/>
      <c r="F29" s="373"/>
    </row>
    <row r="30" spans="1:6" ht="14.45" customHeight="1" x14ac:dyDescent="0.25">
      <c r="A30" s="517" t="s">
        <v>59</v>
      </c>
      <c r="B30" s="519"/>
      <c r="C30" s="521" t="s">
        <v>58</v>
      </c>
      <c r="D30" s="522"/>
      <c r="E30" s="29"/>
      <c r="F30" s="367" t="s">
        <v>309</v>
      </c>
    </row>
    <row r="31" spans="1:6" ht="14.45" customHeight="1" x14ac:dyDescent="0.25">
      <c r="A31" s="525"/>
      <c r="B31" s="526"/>
      <c r="C31" s="527" t="s">
        <v>57</v>
      </c>
      <c r="D31" s="528"/>
      <c r="E31" s="29"/>
      <c r="F31" s="334">
        <v>419.7</v>
      </c>
    </row>
    <row r="32" spans="1:6" ht="14.45" customHeight="1" x14ac:dyDescent="0.25">
      <c r="A32" s="525"/>
      <c r="B32" s="526"/>
      <c r="C32" s="527" t="s">
        <v>69</v>
      </c>
      <c r="D32" s="528"/>
      <c r="E32" s="29"/>
      <c r="F32" s="334">
        <v>90</v>
      </c>
    </row>
    <row r="33" spans="1:6" ht="14.45" customHeight="1" x14ac:dyDescent="0.25">
      <c r="A33" s="525"/>
      <c r="B33" s="526"/>
      <c r="C33" s="529" t="s">
        <v>70</v>
      </c>
      <c r="D33" s="530"/>
      <c r="E33" s="29"/>
      <c r="F33" s="334">
        <v>78</v>
      </c>
    </row>
    <row r="34" spans="1:6" ht="15" customHeight="1" thickBot="1" x14ac:dyDescent="0.3">
      <c r="A34" s="518"/>
      <c r="B34" s="520"/>
      <c r="C34" s="515" t="s">
        <v>111</v>
      </c>
      <c r="D34" s="516"/>
      <c r="E34" s="29"/>
      <c r="F34" s="343">
        <v>376</v>
      </c>
    </row>
    <row r="35" spans="1:6" ht="15.75" thickBot="1" x14ac:dyDescent="0.3">
      <c r="A35" s="46" t="s">
        <v>224</v>
      </c>
      <c r="B35" s="25" t="s">
        <v>223</v>
      </c>
      <c r="C35" s="531"/>
      <c r="D35" s="532"/>
      <c r="E35" s="30"/>
      <c r="F35" s="373"/>
    </row>
    <row r="36" spans="1:6" ht="14.45" customHeight="1" x14ac:dyDescent="0.25">
      <c r="A36" s="517" t="s">
        <v>11</v>
      </c>
      <c r="B36" s="519"/>
      <c r="C36" s="521" t="s">
        <v>24</v>
      </c>
      <c r="D36" s="522"/>
      <c r="E36" s="29"/>
      <c r="F36" s="367">
        <v>10000</v>
      </c>
    </row>
    <row r="37" spans="1:6" ht="15" customHeight="1" thickBot="1" x14ac:dyDescent="0.3">
      <c r="A37" s="518"/>
      <c r="B37" s="520"/>
      <c r="C37" s="515" t="s">
        <v>22</v>
      </c>
      <c r="D37" s="516"/>
      <c r="E37" s="29"/>
      <c r="F37" s="343">
        <v>10000</v>
      </c>
    </row>
    <row r="38" spans="1:6" ht="14.45" customHeight="1" x14ac:dyDescent="0.25">
      <c r="A38" s="517" t="s">
        <v>16</v>
      </c>
      <c r="B38" s="519"/>
      <c r="C38" s="521" t="s">
        <v>24</v>
      </c>
      <c r="D38" s="522"/>
      <c r="E38" s="29"/>
      <c r="F38" s="367">
        <v>19000</v>
      </c>
    </row>
    <row r="39" spans="1:6" ht="15" customHeight="1" thickBot="1" x14ac:dyDescent="0.3">
      <c r="A39" s="518"/>
      <c r="B39" s="520"/>
      <c r="C39" s="523" t="s">
        <v>23</v>
      </c>
      <c r="D39" s="524"/>
      <c r="E39" s="29"/>
      <c r="F39" s="343">
        <v>19000</v>
      </c>
    </row>
    <row r="40" spans="1:6" ht="15.75" thickBot="1" x14ac:dyDescent="0.3">
      <c r="A40" s="47" t="s">
        <v>52</v>
      </c>
      <c r="B40" s="25" t="s">
        <v>53</v>
      </c>
      <c r="C40" s="531"/>
      <c r="D40" s="532"/>
      <c r="E40" s="30"/>
      <c r="F40" s="373"/>
    </row>
    <row r="41" spans="1:6" ht="14.45" customHeight="1" x14ac:dyDescent="0.25">
      <c r="A41" s="517" t="s">
        <v>219</v>
      </c>
      <c r="B41" s="519" t="s">
        <v>222</v>
      </c>
      <c r="C41" s="521" t="s">
        <v>221</v>
      </c>
      <c r="D41" s="522"/>
      <c r="E41" s="29"/>
      <c r="F41" s="367" t="s">
        <v>444</v>
      </c>
    </row>
    <row r="42" spans="1:6" ht="14.45" customHeight="1" x14ac:dyDescent="0.25">
      <c r="A42" s="525"/>
      <c r="B42" s="526"/>
      <c r="C42" s="527" t="s">
        <v>220</v>
      </c>
      <c r="D42" s="528"/>
      <c r="E42" s="29"/>
      <c r="F42" s="334" t="s">
        <v>425</v>
      </c>
    </row>
    <row r="43" spans="1:6" ht="78" customHeight="1" thickBot="1" x14ac:dyDescent="0.3">
      <c r="A43" s="518"/>
      <c r="B43" s="526"/>
      <c r="C43" s="523"/>
      <c r="D43" s="524"/>
      <c r="E43" s="29"/>
      <c r="F43" s="329"/>
    </row>
    <row r="44" spans="1:6" ht="30.95" customHeight="1" thickBot="1" x14ac:dyDescent="0.3">
      <c r="A44" s="46" t="s">
        <v>219</v>
      </c>
      <c r="B44" s="25" t="s">
        <v>218</v>
      </c>
      <c r="C44" s="531"/>
      <c r="D44" s="532"/>
      <c r="E44" s="30"/>
      <c r="F44" s="373"/>
    </row>
    <row r="45" spans="1:6" ht="15" customHeight="1" thickBot="1" x14ac:dyDescent="0.3">
      <c r="A45" s="517" t="s">
        <v>12</v>
      </c>
      <c r="B45" s="542" t="s">
        <v>142</v>
      </c>
      <c r="C45" s="521" t="s">
        <v>174</v>
      </c>
      <c r="D45" s="522"/>
      <c r="E45" s="29"/>
      <c r="F45" s="367" t="s">
        <v>445</v>
      </c>
    </row>
    <row r="46" spans="1:6" ht="15" customHeight="1" thickBot="1" x14ac:dyDescent="0.3">
      <c r="A46" s="525"/>
      <c r="B46" s="542"/>
      <c r="C46" s="527" t="s">
        <v>175</v>
      </c>
      <c r="D46" s="528"/>
      <c r="E46" s="29"/>
      <c r="F46" s="334">
        <v>5840</v>
      </c>
    </row>
    <row r="47" spans="1:6" ht="15" customHeight="1" thickBot="1" x14ac:dyDescent="0.3">
      <c r="A47" s="525"/>
      <c r="B47" s="542"/>
      <c r="C47" s="527" t="s">
        <v>176</v>
      </c>
      <c r="D47" s="528"/>
      <c r="E47" s="29"/>
      <c r="F47" s="419" t="s">
        <v>445</v>
      </c>
    </row>
    <row r="48" spans="1:6" ht="15" customHeight="1" thickBot="1" x14ac:dyDescent="0.3">
      <c r="A48" s="525"/>
      <c r="B48" s="542"/>
      <c r="C48" s="527" t="s">
        <v>177</v>
      </c>
      <c r="D48" s="528"/>
      <c r="E48" s="29"/>
      <c r="F48" s="334">
        <v>5840</v>
      </c>
    </row>
    <row r="49" spans="1:6" ht="15" customHeight="1" thickBot="1" x14ac:dyDescent="0.3">
      <c r="A49" s="525"/>
      <c r="B49" s="542"/>
      <c r="C49" s="527" t="s">
        <v>112</v>
      </c>
      <c r="D49" s="528"/>
      <c r="E49" s="29"/>
      <c r="F49" s="334" t="s">
        <v>446</v>
      </c>
    </row>
    <row r="50" spans="1:6" ht="15" customHeight="1" thickBot="1" x14ac:dyDescent="0.3">
      <c r="A50" s="525"/>
      <c r="B50" s="542"/>
      <c r="C50" s="527" t="s">
        <v>113</v>
      </c>
      <c r="D50" s="528"/>
      <c r="E50" s="29"/>
      <c r="F50" s="334" t="s">
        <v>447</v>
      </c>
    </row>
    <row r="51" spans="1:6" ht="15" customHeight="1" thickBot="1" x14ac:dyDescent="0.3">
      <c r="A51" s="525"/>
      <c r="B51" s="542"/>
      <c r="C51" s="529" t="s">
        <v>114</v>
      </c>
      <c r="D51" s="530"/>
      <c r="E51" s="29"/>
      <c r="F51" s="334" t="s">
        <v>448</v>
      </c>
    </row>
    <row r="52" spans="1:6" ht="15" customHeight="1" thickBot="1" x14ac:dyDescent="0.3">
      <c r="A52" s="518"/>
      <c r="B52" s="542"/>
      <c r="C52" s="515" t="s">
        <v>115</v>
      </c>
      <c r="D52" s="516"/>
      <c r="E52" s="29"/>
      <c r="F52" s="343" t="s">
        <v>449</v>
      </c>
    </row>
    <row r="53" spans="1:6" ht="14.45" customHeight="1" x14ac:dyDescent="0.25">
      <c r="A53" s="517" t="s">
        <v>10</v>
      </c>
      <c r="B53" s="519" t="s">
        <v>217</v>
      </c>
      <c r="C53" s="521" t="s">
        <v>116</v>
      </c>
      <c r="D53" s="522"/>
      <c r="E53" s="29"/>
      <c r="F53" s="367">
        <v>2</v>
      </c>
    </row>
    <row r="54" spans="1:6" ht="14.45" customHeight="1" x14ac:dyDescent="0.25">
      <c r="A54" s="525"/>
      <c r="B54" s="526"/>
      <c r="C54" s="527" t="s">
        <v>117</v>
      </c>
      <c r="D54" s="528"/>
      <c r="E54" s="29"/>
      <c r="F54" s="334" t="s">
        <v>197</v>
      </c>
    </row>
    <row r="55" spans="1:6" ht="15" customHeight="1" thickBot="1" x14ac:dyDescent="0.3">
      <c r="A55" s="518"/>
      <c r="B55" s="526"/>
      <c r="C55" s="523" t="s">
        <v>71</v>
      </c>
      <c r="D55" s="524"/>
      <c r="E55" s="29"/>
      <c r="F55" s="329" t="s">
        <v>450</v>
      </c>
    </row>
    <row r="56" spans="1:6" ht="78" customHeight="1" thickBot="1" x14ac:dyDescent="0.3">
      <c r="A56" s="48" t="s">
        <v>185</v>
      </c>
      <c r="B56" s="23" t="s">
        <v>186</v>
      </c>
      <c r="C56" s="529" t="s">
        <v>187</v>
      </c>
      <c r="D56" s="530"/>
      <c r="E56" s="29"/>
      <c r="F56" s="367">
        <v>136</v>
      </c>
    </row>
    <row r="57" spans="1:6" ht="52.5" customHeight="1" x14ac:dyDescent="0.25">
      <c r="A57" s="517" t="s">
        <v>26</v>
      </c>
      <c r="B57" s="519" t="s">
        <v>251</v>
      </c>
      <c r="C57" s="521" t="s">
        <v>188</v>
      </c>
      <c r="D57" s="522"/>
      <c r="E57" s="29"/>
      <c r="F57" s="367">
        <v>2</v>
      </c>
    </row>
    <row r="58" spans="1:6" ht="14.45" customHeight="1" x14ac:dyDescent="0.25">
      <c r="A58" s="525"/>
      <c r="B58" s="526"/>
      <c r="C58" s="527" t="s">
        <v>189</v>
      </c>
      <c r="D58" s="528"/>
      <c r="E58" s="29"/>
      <c r="F58" s="334" t="s">
        <v>451</v>
      </c>
    </row>
    <row r="59" spans="1:6" ht="15" customHeight="1" thickBot="1" x14ac:dyDescent="0.3">
      <c r="A59" s="518"/>
      <c r="B59" s="520"/>
      <c r="C59" s="515" t="s">
        <v>190</v>
      </c>
      <c r="D59" s="516"/>
      <c r="E59" s="29"/>
      <c r="F59" s="343" t="s">
        <v>373</v>
      </c>
    </row>
    <row r="60" spans="1:6" ht="15.75" thickBot="1" x14ac:dyDescent="0.3">
      <c r="A60" s="47" t="s">
        <v>44</v>
      </c>
      <c r="B60" s="25" t="s">
        <v>45</v>
      </c>
      <c r="C60" s="531"/>
      <c r="D60" s="532"/>
      <c r="E60" s="30"/>
      <c r="F60" s="384"/>
    </row>
    <row r="61" spans="1:6" ht="28.5" customHeight="1" thickBot="1" x14ac:dyDescent="0.3">
      <c r="A61" s="47" t="s">
        <v>44</v>
      </c>
      <c r="B61" s="25" t="s">
        <v>63</v>
      </c>
      <c r="C61" s="531"/>
      <c r="D61" s="532"/>
      <c r="E61" s="30"/>
      <c r="F61" s="384"/>
    </row>
    <row r="62" spans="1:6" ht="27" customHeight="1" thickBot="1" x14ac:dyDescent="0.3">
      <c r="A62" s="47" t="s">
        <v>44</v>
      </c>
      <c r="B62" s="25" t="s">
        <v>64</v>
      </c>
      <c r="C62" s="531"/>
      <c r="D62" s="532"/>
      <c r="E62" s="30"/>
      <c r="F62" s="384"/>
    </row>
    <row r="63" spans="1:6" ht="30.95" customHeight="1" thickBot="1" x14ac:dyDescent="0.3">
      <c r="A63" s="47" t="s">
        <v>50</v>
      </c>
      <c r="B63" s="25" t="s">
        <v>216</v>
      </c>
      <c r="C63" s="531"/>
      <c r="D63" s="532"/>
      <c r="E63" s="30"/>
      <c r="F63" s="384"/>
    </row>
    <row r="64" spans="1:6" ht="16.5" customHeight="1" thickBot="1" x14ac:dyDescent="0.3">
      <c r="A64" s="47" t="s">
        <v>27</v>
      </c>
      <c r="B64" s="25" t="s">
        <v>215</v>
      </c>
      <c r="C64" s="543" t="s">
        <v>77</v>
      </c>
      <c r="D64" s="544"/>
      <c r="E64" s="29"/>
      <c r="F64" s="373" t="s">
        <v>452</v>
      </c>
    </row>
    <row r="65" spans="1:6" ht="53.45" customHeight="1" thickBot="1" x14ac:dyDescent="0.3">
      <c r="A65" s="46" t="s">
        <v>214</v>
      </c>
      <c r="B65" s="25" t="s">
        <v>213</v>
      </c>
      <c r="C65" s="543"/>
      <c r="D65" s="544"/>
      <c r="E65" s="29"/>
      <c r="F65" s="373"/>
    </row>
    <row r="66" spans="1:6" ht="42.6" customHeight="1" thickBot="1" x14ac:dyDescent="0.3">
      <c r="A66" s="47" t="s">
        <v>51</v>
      </c>
      <c r="B66" s="25" t="s">
        <v>212</v>
      </c>
      <c r="C66" s="531"/>
      <c r="D66" s="532"/>
      <c r="E66" s="30"/>
      <c r="F66" s="373"/>
    </row>
    <row r="67" spans="1:6" ht="40.5" customHeight="1" thickBot="1" x14ac:dyDescent="0.3">
      <c r="A67" s="47" t="s">
        <v>54</v>
      </c>
      <c r="B67" s="25" t="s">
        <v>80</v>
      </c>
      <c r="C67" s="531"/>
      <c r="D67" s="532"/>
      <c r="E67" s="30"/>
      <c r="F67" s="373"/>
    </row>
    <row r="68" spans="1:6" ht="90" thickBot="1" x14ac:dyDescent="0.3">
      <c r="A68" s="47" t="s">
        <v>29</v>
      </c>
      <c r="B68" s="25" t="s">
        <v>211</v>
      </c>
      <c r="C68" s="531"/>
      <c r="D68" s="532"/>
      <c r="E68" s="30"/>
      <c r="F68" s="373"/>
    </row>
    <row r="69" spans="1:6" ht="54.6" customHeight="1" thickBot="1" x14ac:dyDescent="0.3">
      <c r="A69" s="47" t="s">
        <v>31</v>
      </c>
      <c r="B69" s="25" t="s">
        <v>210</v>
      </c>
      <c r="C69" s="543" t="s">
        <v>30</v>
      </c>
      <c r="D69" s="544"/>
      <c r="E69" s="29"/>
      <c r="F69" s="373" t="s">
        <v>408</v>
      </c>
    </row>
    <row r="70" spans="1:6" ht="30" customHeight="1" thickBot="1" x14ac:dyDescent="0.3">
      <c r="A70" s="47" t="s">
        <v>55</v>
      </c>
      <c r="B70" s="25" t="s">
        <v>95</v>
      </c>
      <c r="C70" s="531"/>
      <c r="D70" s="532"/>
      <c r="E70" s="30"/>
      <c r="F70" s="373" t="s">
        <v>453</v>
      </c>
    </row>
    <row r="71" spans="1:6" ht="28.5" customHeight="1" thickBot="1" x14ac:dyDescent="0.3">
      <c r="A71" s="47" t="s">
        <v>32</v>
      </c>
      <c r="B71" s="25" t="s">
        <v>96</v>
      </c>
      <c r="C71" s="543" t="s">
        <v>30</v>
      </c>
      <c r="D71" s="544"/>
      <c r="E71" s="29"/>
      <c r="F71" s="373" t="s">
        <v>409</v>
      </c>
    </row>
    <row r="72" spans="1:6" ht="42.6" customHeight="1" thickBot="1" x14ac:dyDescent="0.3">
      <c r="A72" s="47" t="s">
        <v>56</v>
      </c>
      <c r="B72" s="25" t="s">
        <v>167</v>
      </c>
      <c r="C72" s="531"/>
      <c r="D72" s="532"/>
      <c r="E72" s="30"/>
      <c r="F72" s="373"/>
    </row>
    <row r="73" spans="1:6" ht="28.5" customHeight="1" thickBot="1" x14ac:dyDescent="0.3">
      <c r="A73" s="47" t="s">
        <v>48</v>
      </c>
      <c r="B73" s="25" t="s">
        <v>47</v>
      </c>
      <c r="C73" s="531"/>
      <c r="D73" s="532"/>
      <c r="E73" s="30"/>
      <c r="F73" s="373"/>
    </row>
    <row r="74" spans="1:6" ht="31.5" customHeight="1" thickBot="1" x14ac:dyDescent="0.3">
      <c r="A74" s="47" t="s">
        <v>49</v>
      </c>
      <c r="B74" s="25" t="s">
        <v>103</v>
      </c>
      <c r="C74" s="531" t="s">
        <v>198</v>
      </c>
      <c r="D74" s="532"/>
      <c r="E74" s="30"/>
      <c r="F74" s="373" t="s">
        <v>454</v>
      </c>
    </row>
    <row r="75" spans="1:6" ht="26.25" thickBot="1" x14ac:dyDescent="0.3">
      <c r="A75" s="47" t="s">
        <v>46</v>
      </c>
      <c r="B75" s="25" t="s">
        <v>81</v>
      </c>
      <c r="C75" s="531"/>
      <c r="D75" s="532"/>
      <c r="E75" s="30"/>
      <c r="F75" s="373"/>
    </row>
    <row r="76" spans="1:6" ht="15.75" thickBot="1" x14ac:dyDescent="0.3"/>
    <row r="77" spans="1:6" ht="15.95" customHeight="1" thickBot="1" x14ac:dyDescent="0.3">
      <c r="A77" s="536" t="s">
        <v>168</v>
      </c>
      <c r="B77" s="537"/>
      <c r="C77" s="537"/>
      <c r="D77" s="538"/>
      <c r="E77" s="33"/>
      <c r="F77" s="414" t="s">
        <v>389</v>
      </c>
    </row>
    <row r="78" spans="1:6" ht="15" customHeight="1" thickBot="1" x14ac:dyDescent="0.3">
      <c r="A78" s="545" t="s">
        <v>169</v>
      </c>
      <c r="B78" s="546"/>
      <c r="C78" s="546"/>
      <c r="D78" s="547"/>
      <c r="E78" s="34"/>
      <c r="F78" s="415" t="s">
        <v>184</v>
      </c>
    </row>
    <row r="79" spans="1:6" ht="14.45" customHeight="1" x14ac:dyDescent="0.25">
      <c r="A79" s="548" t="s">
        <v>83</v>
      </c>
      <c r="B79" s="549"/>
      <c r="C79" s="549"/>
      <c r="D79" s="550"/>
      <c r="F79" s="420">
        <f>-1010*('PPI Adj'!D6)</f>
        <v>-1178.67</v>
      </c>
    </row>
    <row r="80" spans="1:6" ht="14.45" customHeight="1" x14ac:dyDescent="0.25">
      <c r="A80" s="551" t="s">
        <v>34</v>
      </c>
      <c r="B80" s="552"/>
      <c r="C80" s="552"/>
      <c r="D80" s="553"/>
      <c r="F80" s="421">
        <f>947*('PPI Adj'!D6)</f>
        <v>1105.1490000000001</v>
      </c>
    </row>
    <row r="81" spans="1:6" x14ac:dyDescent="0.25">
      <c r="A81" s="551" t="s">
        <v>35</v>
      </c>
      <c r="B81" s="552"/>
      <c r="C81" s="552"/>
      <c r="D81" s="553"/>
      <c r="F81" s="421">
        <f>452*('PPI Adj'!D6)</f>
        <v>527.48400000000004</v>
      </c>
    </row>
    <row r="82" spans="1:6" x14ac:dyDescent="0.25">
      <c r="A82" s="551" t="s">
        <v>36</v>
      </c>
      <c r="B82" s="552"/>
      <c r="C82" s="552"/>
      <c r="D82" s="553"/>
      <c r="F82" s="421">
        <f>477.6*('PPI Adj'!D6)</f>
        <v>557.3592000000001</v>
      </c>
    </row>
    <row r="83" spans="1:6" ht="14.45" customHeight="1" x14ac:dyDescent="0.25">
      <c r="A83" s="551" t="s">
        <v>209</v>
      </c>
      <c r="B83" s="552"/>
      <c r="C83" s="552"/>
      <c r="D83" s="553"/>
      <c r="F83" s="421">
        <f>86*('PPI Adj'!D6)</f>
        <v>100.36200000000001</v>
      </c>
    </row>
    <row r="84" spans="1:6" x14ac:dyDescent="0.25">
      <c r="A84" s="551" t="s">
        <v>208</v>
      </c>
      <c r="B84" s="552"/>
      <c r="C84" s="552"/>
      <c r="D84" s="553"/>
      <c r="F84" s="421">
        <f>1419*('PPI Adj'!D6)</f>
        <v>1655.973</v>
      </c>
    </row>
    <row r="85" spans="1:6" ht="14.45" customHeight="1" x14ac:dyDescent="0.25">
      <c r="A85" s="551" t="s">
        <v>86</v>
      </c>
      <c r="B85" s="552"/>
      <c r="C85" s="552"/>
      <c r="D85" s="553"/>
      <c r="F85" s="421">
        <f>856*('PPI Adj'!D6)</f>
        <v>998.952</v>
      </c>
    </row>
    <row r="86" spans="1:6" ht="14.45" customHeight="1" x14ac:dyDescent="0.25">
      <c r="A86" s="551" t="s">
        <v>85</v>
      </c>
      <c r="B86" s="552"/>
      <c r="C86" s="552"/>
      <c r="D86" s="553"/>
      <c r="F86" s="421">
        <f>8686*('PPI Adj'!D6)</f>
        <v>10136.562</v>
      </c>
    </row>
    <row r="87" spans="1:6" x14ac:dyDescent="0.25">
      <c r="A87" s="551" t="s">
        <v>13</v>
      </c>
      <c r="B87" s="552"/>
      <c r="C87" s="552"/>
      <c r="D87" s="553"/>
      <c r="F87" s="421">
        <f>10801*('PPI Adj'!D6)</f>
        <v>12604.767</v>
      </c>
    </row>
    <row r="88" spans="1:6" ht="14.45" customHeight="1" x14ac:dyDescent="0.25">
      <c r="A88" s="551" t="s">
        <v>37</v>
      </c>
      <c r="B88" s="552"/>
      <c r="C88" s="552"/>
      <c r="D88" s="553"/>
      <c r="F88" s="421">
        <v>595</v>
      </c>
    </row>
    <row r="89" spans="1:6" x14ac:dyDescent="0.25">
      <c r="A89" s="551" t="s">
        <v>38</v>
      </c>
      <c r="B89" s="552"/>
      <c r="C89" s="552"/>
      <c r="D89" s="553"/>
      <c r="F89" s="421">
        <f>583*('PPI Adj'!D6)</f>
        <v>680.36099999999999</v>
      </c>
    </row>
    <row r="90" spans="1:6" x14ac:dyDescent="0.25">
      <c r="A90" s="551" t="s">
        <v>201</v>
      </c>
      <c r="B90" s="552"/>
      <c r="C90" s="552"/>
      <c r="D90" s="553"/>
      <c r="F90" s="421" t="s">
        <v>183</v>
      </c>
    </row>
    <row r="91" spans="1:6" x14ac:dyDescent="0.25">
      <c r="A91" s="551" t="s">
        <v>39</v>
      </c>
      <c r="B91" s="552"/>
      <c r="C91" s="552"/>
      <c r="D91" s="553"/>
      <c r="F91" s="421">
        <f>472*('PPI Adj'!D6)</f>
        <v>550.82400000000007</v>
      </c>
    </row>
    <row r="92" spans="1:6" x14ac:dyDescent="0.25">
      <c r="A92" s="551" t="s">
        <v>40</v>
      </c>
      <c r="B92" s="552"/>
      <c r="C92" s="552"/>
      <c r="D92" s="553"/>
      <c r="F92" s="421">
        <f>389*('PPI Adj'!D6)</f>
        <v>453.96300000000002</v>
      </c>
    </row>
    <row r="93" spans="1:6" x14ac:dyDescent="0.25">
      <c r="A93" s="551" t="s">
        <v>14</v>
      </c>
      <c r="B93" s="552"/>
      <c r="C93" s="552"/>
      <c r="D93" s="553"/>
      <c r="F93" s="421">
        <f>38127*('PPI Adj'!D6)</f>
        <v>44494.209000000003</v>
      </c>
    </row>
    <row r="94" spans="1:6" ht="14.45" customHeight="1" x14ac:dyDescent="0.25">
      <c r="A94" s="551" t="s">
        <v>91</v>
      </c>
      <c r="B94" s="552"/>
      <c r="C94" s="552"/>
      <c r="D94" s="553"/>
      <c r="F94" s="421">
        <f>1971*('PPI Adj'!D6)</f>
        <v>2300.1570000000002</v>
      </c>
    </row>
    <row r="95" spans="1:6" ht="15" customHeight="1" thickBot="1" x14ac:dyDescent="0.3">
      <c r="A95" s="554" t="s">
        <v>92</v>
      </c>
      <c r="B95" s="555"/>
      <c r="C95" s="555"/>
      <c r="D95" s="556"/>
      <c r="F95" s="423">
        <f>-2023*('PPI Adj'!D6)</f>
        <v>-2360.8409999999999</v>
      </c>
    </row>
    <row r="96" spans="1:6" ht="15.75" thickBot="1" x14ac:dyDescent="0.3"/>
    <row r="97" spans="1:6" ht="15.95" customHeight="1" thickBot="1" x14ac:dyDescent="0.3">
      <c r="A97" s="536" t="s">
        <v>166</v>
      </c>
      <c r="B97" s="537"/>
      <c r="C97" s="537"/>
      <c r="D97" s="538"/>
      <c r="E97" s="33"/>
      <c r="F97" s="414" t="s">
        <v>389</v>
      </c>
    </row>
    <row r="98" spans="1:6" ht="15" customHeight="1" thickBot="1" x14ac:dyDescent="0.3">
      <c r="A98" s="49" t="s">
        <v>33</v>
      </c>
      <c r="B98" s="19" t="s">
        <v>7</v>
      </c>
      <c r="C98" s="560" t="s">
        <v>165</v>
      </c>
      <c r="D98" s="561"/>
      <c r="E98" s="34"/>
      <c r="F98" s="415" t="s">
        <v>184</v>
      </c>
    </row>
    <row r="99" spans="1:6" ht="41.1" customHeight="1" thickBot="1" x14ac:dyDescent="0.3">
      <c r="A99" s="50" t="s">
        <v>83</v>
      </c>
      <c r="B99" s="18" t="s">
        <v>146</v>
      </c>
      <c r="C99" s="562"/>
      <c r="D99" s="563"/>
      <c r="F99" s="373"/>
    </row>
    <row r="100" spans="1:6" ht="26.25" thickBot="1" x14ac:dyDescent="0.3">
      <c r="A100" s="47" t="s">
        <v>34</v>
      </c>
      <c r="B100" s="25" t="s">
        <v>107</v>
      </c>
      <c r="C100" s="543" t="s">
        <v>30</v>
      </c>
      <c r="D100" s="544"/>
      <c r="F100" s="373" t="s">
        <v>349</v>
      </c>
    </row>
    <row r="101" spans="1:6" ht="53.1" customHeight="1" thickBot="1" x14ac:dyDescent="0.3">
      <c r="A101" s="47" t="s">
        <v>35</v>
      </c>
      <c r="B101" s="25" t="s">
        <v>97</v>
      </c>
      <c r="C101" s="531"/>
      <c r="D101" s="532"/>
      <c r="F101" s="373"/>
    </row>
    <row r="102" spans="1:6" ht="27.95" customHeight="1" thickBot="1" x14ac:dyDescent="0.3">
      <c r="A102" s="47" t="s">
        <v>36</v>
      </c>
      <c r="B102" s="25" t="s">
        <v>84</v>
      </c>
      <c r="C102" s="543" t="s">
        <v>99</v>
      </c>
      <c r="D102" s="544"/>
      <c r="F102" s="373" t="s">
        <v>410</v>
      </c>
    </row>
    <row r="103" spans="1:6" ht="14.45" customHeight="1" x14ac:dyDescent="0.25">
      <c r="A103" s="517" t="s">
        <v>60</v>
      </c>
      <c r="B103" s="519" t="s">
        <v>133</v>
      </c>
      <c r="C103" s="521" t="s">
        <v>203</v>
      </c>
      <c r="D103" s="522"/>
      <c r="F103" s="367" t="s">
        <v>413</v>
      </c>
    </row>
    <row r="104" spans="1:6" ht="14.45" customHeight="1" x14ac:dyDescent="0.25">
      <c r="A104" s="525"/>
      <c r="B104" s="526"/>
      <c r="C104" s="527" t="s">
        <v>202</v>
      </c>
      <c r="D104" s="528"/>
      <c r="F104" s="334">
        <v>6005</v>
      </c>
    </row>
    <row r="105" spans="1:6" ht="14.45" customHeight="1" x14ac:dyDescent="0.25">
      <c r="A105" s="525"/>
      <c r="B105" s="526"/>
      <c r="C105" s="527" t="s">
        <v>114</v>
      </c>
      <c r="D105" s="528"/>
      <c r="F105" s="334" t="s">
        <v>455</v>
      </c>
    </row>
    <row r="106" spans="1:6" ht="24.95" customHeight="1" thickBot="1" x14ac:dyDescent="0.3">
      <c r="A106" s="518"/>
      <c r="B106" s="520"/>
      <c r="C106" s="515" t="s">
        <v>115</v>
      </c>
      <c r="D106" s="516"/>
      <c r="F106" s="343" t="s">
        <v>456</v>
      </c>
    </row>
    <row r="107" spans="1:6" ht="14.45" customHeight="1" x14ac:dyDescent="0.25">
      <c r="A107" s="517" t="s">
        <v>61</v>
      </c>
      <c r="B107" s="519" t="s">
        <v>206</v>
      </c>
      <c r="C107" s="521" t="s">
        <v>205</v>
      </c>
      <c r="D107" s="522"/>
      <c r="F107" s="367" t="s">
        <v>413</v>
      </c>
    </row>
    <row r="108" spans="1:6" ht="14.45" customHeight="1" x14ac:dyDescent="0.25">
      <c r="A108" s="525"/>
      <c r="B108" s="526"/>
      <c r="C108" s="527" t="s">
        <v>204</v>
      </c>
      <c r="D108" s="528"/>
      <c r="F108" s="419">
        <v>6610</v>
      </c>
    </row>
    <row r="109" spans="1:6" ht="14.45" customHeight="1" x14ac:dyDescent="0.25">
      <c r="A109" s="525"/>
      <c r="B109" s="526"/>
      <c r="C109" s="527" t="s">
        <v>203</v>
      </c>
      <c r="D109" s="528"/>
      <c r="F109" s="419" t="s">
        <v>413</v>
      </c>
    </row>
    <row r="110" spans="1:6" ht="14.45" customHeight="1" x14ac:dyDescent="0.25">
      <c r="A110" s="525"/>
      <c r="B110" s="526"/>
      <c r="C110" s="527" t="s">
        <v>202</v>
      </c>
      <c r="D110" s="528"/>
      <c r="F110" s="334">
        <v>6005</v>
      </c>
    </row>
    <row r="111" spans="1:6" ht="14.45" customHeight="1" x14ac:dyDescent="0.25">
      <c r="A111" s="525"/>
      <c r="B111" s="526"/>
      <c r="C111" s="527" t="s">
        <v>112</v>
      </c>
      <c r="D111" s="528"/>
      <c r="F111" s="334" t="s">
        <v>414</v>
      </c>
    </row>
    <row r="112" spans="1:6" ht="14.45" customHeight="1" x14ac:dyDescent="0.25">
      <c r="A112" s="525"/>
      <c r="B112" s="526"/>
      <c r="C112" s="527" t="s">
        <v>113</v>
      </c>
      <c r="D112" s="528"/>
      <c r="F112" s="419" t="s">
        <v>415</v>
      </c>
    </row>
    <row r="113" spans="1:6" ht="14.45" customHeight="1" x14ac:dyDescent="0.25">
      <c r="A113" s="525"/>
      <c r="B113" s="526"/>
      <c r="C113" s="527" t="s">
        <v>114</v>
      </c>
      <c r="D113" s="528"/>
      <c r="F113" s="419" t="s">
        <v>416</v>
      </c>
    </row>
    <row r="114" spans="1:6" ht="15" customHeight="1" thickBot="1" x14ac:dyDescent="0.3">
      <c r="A114" s="518"/>
      <c r="B114" s="520"/>
      <c r="C114" s="515" t="s">
        <v>115</v>
      </c>
      <c r="D114" s="516"/>
      <c r="F114" s="343" t="s">
        <v>415</v>
      </c>
    </row>
    <row r="115" spans="1:6" ht="143.44999999999999" customHeight="1" thickBot="1" x14ac:dyDescent="0.3">
      <c r="A115" s="51" t="s">
        <v>86</v>
      </c>
      <c r="B115" s="17" t="s">
        <v>143</v>
      </c>
      <c r="C115" s="543" t="s">
        <v>104</v>
      </c>
      <c r="D115" s="544"/>
      <c r="F115" s="367" t="s">
        <v>417</v>
      </c>
    </row>
    <row r="116" spans="1:6" ht="168.6" customHeight="1" thickBot="1" x14ac:dyDescent="0.3">
      <c r="A116" s="47" t="s">
        <v>85</v>
      </c>
      <c r="B116" s="14" t="s">
        <v>170</v>
      </c>
      <c r="C116" s="543" t="s">
        <v>104</v>
      </c>
      <c r="D116" s="544"/>
      <c r="F116" s="373" t="s">
        <v>418</v>
      </c>
    </row>
    <row r="117" spans="1:6" ht="29.1" customHeight="1" x14ac:dyDescent="0.25">
      <c r="A117" s="517" t="s">
        <v>13</v>
      </c>
      <c r="B117" s="519" t="s">
        <v>98</v>
      </c>
      <c r="C117" s="521" t="s">
        <v>30</v>
      </c>
      <c r="D117" s="522"/>
      <c r="F117" s="367" t="s">
        <v>419</v>
      </c>
    </row>
    <row r="118" spans="1:6" ht="24.6" customHeight="1" thickBot="1" x14ac:dyDescent="0.3">
      <c r="A118" s="518"/>
      <c r="B118" s="520"/>
      <c r="C118" s="515" t="s">
        <v>109</v>
      </c>
      <c r="D118" s="516"/>
      <c r="F118" s="343" t="s">
        <v>457</v>
      </c>
    </row>
    <row r="119" spans="1:6" ht="66" customHeight="1" thickBot="1" x14ac:dyDescent="0.3">
      <c r="A119" s="47" t="s">
        <v>37</v>
      </c>
      <c r="B119" s="25" t="s">
        <v>135</v>
      </c>
      <c r="C119" s="531"/>
      <c r="D119" s="532"/>
      <c r="F119" s="373" t="s">
        <v>375</v>
      </c>
    </row>
    <row r="120" spans="1:6" ht="40.5" customHeight="1" thickBot="1" x14ac:dyDescent="0.3">
      <c r="A120" s="47" t="s">
        <v>38</v>
      </c>
      <c r="B120" s="25" t="s">
        <v>87</v>
      </c>
      <c r="C120" s="531"/>
      <c r="D120" s="532"/>
      <c r="F120" s="373"/>
    </row>
    <row r="121" spans="1:6" ht="15.75" thickBot="1" x14ac:dyDescent="0.3">
      <c r="A121" s="47" t="s">
        <v>201</v>
      </c>
      <c r="B121" s="25" t="s">
        <v>200</v>
      </c>
      <c r="C121" s="543"/>
      <c r="D121" s="544"/>
      <c r="F121" s="373"/>
    </row>
    <row r="122" spans="1:6" ht="27.95" customHeight="1" thickBot="1" x14ac:dyDescent="0.3">
      <c r="A122" s="47" t="s">
        <v>39</v>
      </c>
      <c r="B122" s="25" t="s">
        <v>106</v>
      </c>
      <c r="C122" s="543" t="s">
        <v>105</v>
      </c>
      <c r="D122" s="544"/>
      <c r="F122" s="373" t="s">
        <v>323</v>
      </c>
    </row>
    <row r="123" spans="1:6" ht="26.25" thickBot="1" x14ac:dyDescent="0.3">
      <c r="A123" s="47" t="s">
        <v>40</v>
      </c>
      <c r="B123" s="25" t="s">
        <v>137</v>
      </c>
      <c r="C123" s="543" t="s">
        <v>100</v>
      </c>
      <c r="D123" s="544"/>
      <c r="F123" s="343" t="s">
        <v>360</v>
      </c>
    </row>
    <row r="124" spans="1:6" ht="54.95" customHeight="1" x14ac:dyDescent="0.25">
      <c r="A124" s="517" t="s">
        <v>14</v>
      </c>
      <c r="B124" s="519" t="s">
        <v>138</v>
      </c>
      <c r="C124" s="521" t="s">
        <v>139</v>
      </c>
      <c r="D124" s="718"/>
      <c r="F124" s="367">
        <v>2</v>
      </c>
    </row>
    <row r="125" spans="1:6" ht="54.95" customHeight="1" thickBot="1" x14ac:dyDescent="0.3">
      <c r="A125" s="518"/>
      <c r="B125" s="520"/>
      <c r="C125" s="515" t="s">
        <v>274</v>
      </c>
      <c r="D125" s="685"/>
      <c r="F125" s="343" t="s">
        <v>275</v>
      </c>
    </row>
    <row r="126" spans="1:6" ht="66" customHeight="1" thickBot="1" x14ac:dyDescent="0.3">
      <c r="A126" s="47" t="s">
        <v>91</v>
      </c>
      <c r="B126" s="25" t="s">
        <v>144</v>
      </c>
      <c r="C126" s="543" t="s">
        <v>100</v>
      </c>
      <c r="D126" s="544"/>
      <c r="F126" s="373" t="s">
        <v>458</v>
      </c>
    </row>
    <row r="127" spans="1:6" ht="68.45" customHeight="1" thickBot="1" x14ac:dyDescent="0.3">
      <c r="A127" s="47" t="s">
        <v>92</v>
      </c>
      <c r="B127" s="25" t="s">
        <v>145</v>
      </c>
      <c r="C127" s="531"/>
      <c r="D127" s="532"/>
      <c r="F127" s="373"/>
    </row>
  </sheetData>
  <sheetProtection algorithmName="SHA-512" hashValue="IUphe+gH3a19UD8rlXWWr4mfrnR7zfCCGXF+hoE2wCe84qDgb08/954RCvpbaYOBuq+I2beqq8XsIoMYee1y/g==" saltValue="vKCNcLBidkkAIsF1IxufeA==" spinCount="100000" sheet="1" objects="1" scenarios="1"/>
  <mergeCells count="142">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103:A106"/>
    <mergeCell ref="B103:B106"/>
    <mergeCell ref="C103:D103"/>
    <mergeCell ref="C104:D104"/>
    <mergeCell ref="C105:D105"/>
    <mergeCell ref="C106:D106"/>
    <mergeCell ref="A97:D97"/>
    <mergeCell ref="C98:D98"/>
    <mergeCell ref="C99:D99"/>
    <mergeCell ref="C100:D100"/>
    <mergeCell ref="C101:D101"/>
    <mergeCell ref="C102:D102"/>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C123:D123"/>
    <mergeCell ref="C124:D124"/>
    <mergeCell ref="C126:D126"/>
    <mergeCell ref="C127:D127"/>
    <mergeCell ref="C119:D119"/>
    <mergeCell ref="C120:D120"/>
    <mergeCell ref="C121:D121"/>
    <mergeCell ref="C122:D122"/>
    <mergeCell ref="A124:A125"/>
    <mergeCell ref="B124:B125"/>
    <mergeCell ref="C125:D125"/>
  </mergeCells>
  <conditionalFormatting sqref="C56 C62">
    <cfRule type="expression" dxfId="60" priority="36">
      <formula>#REF!="NO"</formula>
    </cfRule>
  </conditionalFormatting>
  <conditionalFormatting sqref="C41:D43">
    <cfRule type="expression" dxfId="59" priority="30">
      <formula>$F$2="NO"</formula>
    </cfRule>
  </conditionalFormatting>
  <conditionalFormatting sqref="C124:D124 C125">
    <cfRule type="expression" dxfId="58" priority="3">
      <formula>$F$2="NO"</formula>
    </cfRule>
  </conditionalFormatting>
  <conditionalFormatting sqref="C126:D127">
    <cfRule type="expression" dxfId="57" priority="12">
      <formula>#REF!="NO"</formula>
    </cfRule>
  </conditionalFormatting>
  <conditionalFormatting sqref="C26:E40">
    <cfRule type="expression" dxfId="56" priority="32">
      <formula>#REF!="NO"</formula>
    </cfRule>
  </conditionalFormatting>
  <conditionalFormatting sqref="C44:E75 F79:F95 C99:D123 F99:F127">
    <cfRule type="expression" dxfId="55" priority="4">
      <formula>#REF!="NO"</formula>
    </cfRule>
  </conditionalFormatting>
  <conditionalFormatting sqref="E41:E43">
    <cfRule type="expression" dxfId="54" priority="31">
      <formula>#REF!="NO"</formula>
    </cfRule>
  </conditionalFormatting>
  <conditionalFormatting sqref="F8:F9">
    <cfRule type="expression" dxfId="53" priority="1">
      <formula>$F$2="NO"</formula>
    </cfRule>
  </conditionalFormatting>
  <conditionalFormatting sqref="F10:F17">
    <cfRule type="expression" dxfId="52" priority="43">
      <formula>#REF!="NO"</formula>
    </cfRule>
  </conditionalFormatting>
  <conditionalFormatting sqref="F21:F22">
    <cfRule type="expression" dxfId="51" priority="38">
      <formula>#REF!="NO"</formula>
    </cfRule>
  </conditionalFormatting>
  <conditionalFormatting sqref="F26:F75">
    <cfRule type="expression" dxfId="50" priority="17">
      <formula>#REF!="NO"</formula>
    </cfRule>
  </conditionalFormatting>
  <pageMargins left="0.7" right="0.7" top="0.75" bottom="0.75" header="0.3" footer="0.3"/>
  <pageSetup scale="79" orientation="landscape" r:id="rId1"/>
  <rowBreaks count="4" manualBreakCount="4">
    <brk id="28" max="6" man="1"/>
    <brk id="75" max="16383" man="1"/>
    <brk id="102" max="16383" man="1"/>
    <brk id="118"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4FB50-4D95-4317-AF98-7B83859A46B0}">
  <sheetPr>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21"/>
    </row>
    <row r="3" spans="1:7" ht="24" thickBot="1" x14ac:dyDescent="0.25">
      <c r="A3" s="830" t="s">
        <v>311</v>
      </c>
      <c r="B3" s="831"/>
      <c r="C3" s="831"/>
      <c r="D3" s="832"/>
      <c r="E3" s="8"/>
      <c r="F3" s="304"/>
      <c r="G3" s="8"/>
    </row>
    <row r="4" spans="1:7" ht="51" customHeight="1" thickBot="1" x14ac:dyDescent="0.25">
      <c r="A4" s="506" t="s">
        <v>322</v>
      </c>
      <c r="B4" s="507"/>
      <c r="C4" s="507"/>
      <c r="D4" s="508"/>
      <c r="E4" s="8"/>
      <c r="F4" s="304"/>
      <c r="G4" s="8"/>
    </row>
    <row r="5" spans="1:7" s="4" customFormat="1" ht="11.25" customHeight="1" thickBot="1" x14ac:dyDescent="0.3">
      <c r="A5" s="411"/>
      <c r="B5" s="411"/>
      <c r="C5" s="411"/>
      <c r="D5" s="411"/>
      <c r="E5" s="411"/>
      <c r="F5" s="413"/>
    </row>
    <row r="6" spans="1:7" s="7" customFormat="1" ht="16.5" customHeight="1" thickBot="1" x14ac:dyDescent="0.25">
      <c r="A6" s="509" t="s">
        <v>151</v>
      </c>
      <c r="B6" s="510"/>
      <c r="C6" s="510"/>
      <c r="D6" s="511"/>
      <c r="E6" s="31"/>
      <c r="F6" s="473" t="s">
        <v>334</v>
      </c>
      <c r="G6" s="31"/>
    </row>
    <row r="7" spans="1:7" s="4" customFormat="1" ht="15" customHeight="1" thickBot="1" x14ac:dyDescent="0.3">
      <c r="A7" s="37" t="s">
        <v>6</v>
      </c>
      <c r="B7" s="22" t="s">
        <v>165</v>
      </c>
      <c r="C7" s="27"/>
      <c r="D7" s="35"/>
      <c r="E7" s="32"/>
      <c r="F7" s="415" t="s">
        <v>19</v>
      </c>
      <c r="G7" s="32"/>
    </row>
    <row r="8" spans="1:7" ht="65.25" thickTop="1" thickBot="1" x14ac:dyDescent="0.25">
      <c r="A8" s="38" t="s">
        <v>9</v>
      </c>
      <c r="B8" s="500" t="s">
        <v>152</v>
      </c>
      <c r="C8" s="501"/>
      <c r="D8" s="502"/>
      <c r="E8" s="13"/>
      <c r="F8" s="324" t="s">
        <v>459</v>
      </c>
      <c r="G8" s="13"/>
    </row>
    <row r="9" spans="1:7" s="7" customFormat="1" ht="44.25" customHeight="1" thickTop="1" thickBot="1" x14ac:dyDescent="0.25">
      <c r="A9" s="38" t="s">
        <v>136</v>
      </c>
      <c r="B9" s="500" t="s">
        <v>191</v>
      </c>
      <c r="C9" s="501"/>
      <c r="D9" s="502"/>
      <c r="E9" s="13"/>
      <c r="F9" s="324" t="s">
        <v>460</v>
      </c>
      <c r="G9" s="13"/>
    </row>
    <row r="10" spans="1:7" ht="12.75" customHeight="1" thickTop="1" x14ac:dyDescent="0.2">
      <c r="A10" s="39" t="s">
        <v>0</v>
      </c>
      <c r="B10" s="491" t="s">
        <v>154</v>
      </c>
      <c r="C10" s="492"/>
      <c r="D10" s="493"/>
      <c r="E10" s="13"/>
      <c r="F10" s="334" t="s">
        <v>334</v>
      </c>
      <c r="G10" s="13"/>
    </row>
    <row r="11" spans="1:7" x14ac:dyDescent="0.2">
      <c r="A11" s="39" t="s">
        <v>1</v>
      </c>
      <c r="B11" s="491" t="s">
        <v>153</v>
      </c>
      <c r="C11" s="492"/>
      <c r="D11" s="493"/>
      <c r="E11" s="13"/>
      <c r="F11" s="334" t="s">
        <v>461</v>
      </c>
      <c r="G11" s="13"/>
    </row>
    <row r="12" spans="1:7" ht="12.75" customHeight="1" thickBot="1" x14ac:dyDescent="0.25">
      <c r="A12" s="40" t="s">
        <v>2</v>
      </c>
      <c r="B12" s="494" t="s">
        <v>155</v>
      </c>
      <c r="C12" s="495"/>
      <c r="D12" s="496"/>
      <c r="E12" s="13"/>
      <c r="F12" s="336" t="s">
        <v>462</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462</v>
      </c>
      <c r="G14" s="13"/>
    </row>
    <row r="15" spans="1:7" ht="15.75" customHeight="1" thickBot="1" x14ac:dyDescent="0.25">
      <c r="A15" s="41" t="s">
        <v>5</v>
      </c>
      <c r="B15" s="494" t="s">
        <v>158</v>
      </c>
      <c r="C15" s="495"/>
      <c r="D15" s="496"/>
      <c r="E15" s="13"/>
      <c r="F15" s="341" t="s">
        <v>463</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16.5" customHeight="1" thickBot="1" x14ac:dyDescent="0.25">
      <c r="A19" s="509" t="s">
        <v>150</v>
      </c>
      <c r="B19" s="510"/>
      <c r="C19" s="510"/>
      <c r="D19" s="511"/>
      <c r="E19" s="31"/>
      <c r="F19" s="473" t="s">
        <v>334</v>
      </c>
      <c r="G19" s="31"/>
    </row>
    <row r="20" spans="1:7" s="4" customFormat="1" ht="15" customHeight="1" thickBot="1" x14ac:dyDescent="0.3">
      <c r="A20" s="52" t="s">
        <v>6</v>
      </c>
      <c r="B20" s="26" t="s">
        <v>165</v>
      </c>
      <c r="C20" s="28"/>
      <c r="D20" s="45"/>
      <c r="E20" s="32"/>
      <c r="F20" s="415" t="s">
        <v>19</v>
      </c>
      <c r="G20" s="32"/>
    </row>
    <row r="21" spans="1:7" ht="56.25" customHeight="1" x14ac:dyDescent="0.2">
      <c r="A21" s="42" t="s">
        <v>42</v>
      </c>
      <c r="B21" s="512" t="s">
        <v>161</v>
      </c>
      <c r="C21" s="513"/>
      <c r="D21" s="514"/>
      <c r="E21" s="13"/>
      <c r="F21" s="416">
        <f>133783.45*('PPI Adj'!D6)</f>
        <v>156125.28615000003</v>
      </c>
      <c r="G21" s="13"/>
    </row>
    <row r="22" spans="1:7" ht="33" customHeight="1" thickBot="1" x14ac:dyDescent="0.25">
      <c r="A22" s="43" t="s">
        <v>41</v>
      </c>
      <c r="B22" s="533" t="s">
        <v>163</v>
      </c>
      <c r="C22" s="534"/>
      <c r="D22" s="535"/>
      <c r="E22" s="1"/>
      <c r="F22" s="354">
        <v>20</v>
      </c>
      <c r="G22" s="1"/>
    </row>
    <row r="23" spans="1:7" ht="13.5" thickBot="1" x14ac:dyDescent="0.25">
      <c r="A23" s="69"/>
      <c r="B23" s="1"/>
      <c r="C23" s="1"/>
      <c r="D23" s="1"/>
      <c r="E23" s="1"/>
      <c r="F23" s="418"/>
      <c r="G23" s="1"/>
    </row>
    <row r="24" spans="1:7" s="7" customFormat="1" ht="15.75" customHeight="1" thickBot="1" x14ac:dyDescent="0.25">
      <c r="A24" s="536" t="s">
        <v>164</v>
      </c>
      <c r="B24" s="537"/>
      <c r="C24" s="537"/>
      <c r="D24" s="538"/>
      <c r="E24" s="33"/>
      <c r="F24" s="473" t="s">
        <v>334</v>
      </c>
      <c r="G24" s="33"/>
    </row>
    <row r="25" spans="1:7" s="3" customFormat="1" ht="15" customHeight="1" thickBot="1" x14ac:dyDescent="0.3">
      <c r="A25" s="52" t="s">
        <v>6</v>
      </c>
      <c r="B25" s="53" t="s">
        <v>7</v>
      </c>
      <c r="C25" s="539" t="s">
        <v>165</v>
      </c>
      <c r="D25" s="540"/>
      <c r="E25" s="34"/>
      <c r="F25" s="415" t="s">
        <v>19</v>
      </c>
      <c r="G25" s="34"/>
    </row>
    <row r="26" spans="1:7" s="13" customFormat="1" ht="66.95" customHeight="1" thickBot="1" x14ac:dyDescent="0.3">
      <c r="A26" s="46" t="s">
        <v>8</v>
      </c>
      <c r="B26" s="25" t="s">
        <v>310</v>
      </c>
      <c r="C26" s="515" t="s">
        <v>118</v>
      </c>
      <c r="D26" s="516"/>
      <c r="E26" s="29"/>
      <c r="F26" s="343">
        <v>30350</v>
      </c>
      <c r="G26" s="29"/>
    </row>
    <row r="27" spans="1:7" s="13" customFormat="1" x14ac:dyDescent="0.25">
      <c r="A27" s="517" t="s">
        <v>21</v>
      </c>
      <c r="B27" s="519" t="s">
        <v>327</v>
      </c>
      <c r="C27" s="521" t="s">
        <v>67</v>
      </c>
      <c r="D27" s="522"/>
      <c r="E27" s="29"/>
      <c r="F27" s="367">
        <v>9</v>
      </c>
      <c r="G27" s="29"/>
    </row>
    <row r="28" spans="1:7" s="13" customFormat="1" ht="13.5" thickBot="1" x14ac:dyDescent="0.3">
      <c r="A28" s="518"/>
      <c r="B28" s="520"/>
      <c r="C28" s="515" t="s">
        <v>68</v>
      </c>
      <c r="D28" s="516"/>
      <c r="E28" s="29"/>
      <c r="F28" s="343">
        <v>53</v>
      </c>
      <c r="G28" s="29"/>
    </row>
    <row r="29" spans="1:7" s="13" customFormat="1" ht="13.5" thickBot="1" x14ac:dyDescent="0.3">
      <c r="A29" s="47" t="s">
        <v>123</v>
      </c>
      <c r="B29" s="25" t="s">
        <v>108</v>
      </c>
      <c r="C29" s="531"/>
      <c r="D29" s="532"/>
      <c r="E29" s="30"/>
      <c r="F29" s="373"/>
      <c r="G29" s="30"/>
    </row>
    <row r="30" spans="1:7" s="13" customFormat="1" x14ac:dyDescent="0.25">
      <c r="A30" s="517" t="s">
        <v>59</v>
      </c>
      <c r="B30" s="519"/>
      <c r="C30" s="521" t="s">
        <v>58</v>
      </c>
      <c r="D30" s="522"/>
      <c r="E30" s="29"/>
      <c r="F30" s="367">
        <v>136</v>
      </c>
      <c r="G30" s="29"/>
    </row>
    <row r="31" spans="1:7" s="13" customFormat="1" x14ac:dyDescent="0.25">
      <c r="A31" s="525"/>
      <c r="B31" s="526"/>
      <c r="C31" s="527" t="s">
        <v>57</v>
      </c>
      <c r="D31" s="528"/>
      <c r="E31" s="29"/>
      <c r="F31" s="334">
        <v>337.8</v>
      </c>
      <c r="G31" s="29"/>
    </row>
    <row r="32" spans="1:7" s="13" customFormat="1" x14ac:dyDescent="0.25">
      <c r="A32" s="525"/>
      <c r="B32" s="526"/>
      <c r="C32" s="527" t="s">
        <v>69</v>
      </c>
      <c r="D32" s="528"/>
      <c r="E32" s="29"/>
      <c r="F32" s="334">
        <v>90</v>
      </c>
      <c r="G32" s="29"/>
    </row>
    <row r="33" spans="1:7" s="13" customFormat="1" x14ac:dyDescent="0.25">
      <c r="A33" s="525"/>
      <c r="B33" s="526"/>
      <c r="C33" s="529" t="s">
        <v>70</v>
      </c>
      <c r="D33" s="530"/>
      <c r="E33" s="29"/>
      <c r="F33" s="334">
        <v>78</v>
      </c>
      <c r="G33" s="29"/>
    </row>
    <row r="34" spans="1:7" s="13" customFormat="1" ht="13.5" thickBot="1" x14ac:dyDescent="0.3">
      <c r="A34" s="518"/>
      <c r="B34" s="520"/>
      <c r="C34" s="515" t="s">
        <v>111</v>
      </c>
      <c r="D34" s="516"/>
      <c r="E34" s="29"/>
      <c r="F34" s="343">
        <v>255</v>
      </c>
      <c r="G34" s="29"/>
    </row>
    <row r="35" spans="1:7" s="13" customFormat="1" x14ac:dyDescent="0.25">
      <c r="A35" s="517" t="s">
        <v>11</v>
      </c>
      <c r="B35" s="519"/>
      <c r="C35" s="521" t="s">
        <v>24</v>
      </c>
      <c r="D35" s="522"/>
      <c r="E35" s="29"/>
      <c r="F35" s="367">
        <v>11350</v>
      </c>
      <c r="G35" s="29"/>
    </row>
    <row r="36" spans="1:7" s="13" customFormat="1" ht="13.5" thickBot="1" x14ac:dyDescent="0.3">
      <c r="A36" s="518"/>
      <c r="B36" s="520"/>
      <c r="C36" s="515" t="s">
        <v>22</v>
      </c>
      <c r="D36" s="516"/>
      <c r="E36" s="29"/>
      <c r="F36" s="343">
        <v>13200</v>
      </c>
      <c r="G36" s="29"/>
    </row>
    <row r="37" spans="1:7" s="13" customFormat="1" x14ac:dyDescent="0.25">
      <c r="A37" s="517" t="s">
        <v>16</v>
      </c>
      <c r="B37" s="519"/>
      <c r="C37" s="521" t="s">
        <v>24</v>
      </c>
      <c r="D37" s="522"/>
      <c r="E37" s="29"/>
      <c r="F37" s="367">
        <v>19000</v>
      </c>
      <c r="G37" s="29"/>
    </row>
    <row r="38" spans="1:7" s="13" customFormat="1" ht="13.5" thickBot="1" x14ac:dyDescent="0.3">
      <c r="A38" s="518"/>
      <c r="B38" s="520"/>
      <c r="C38" s="523" t="s">
        <v>23</v>
      </c>
      <c r="D38" s="524"/>
      <c r="E38" s="29"/>
      <c r="F38" s="343">
        <v>19000</v>
      </c>
      <c r="G38" s="29"/>
    </row>
    <row r="39" spans="1:7" s="13" customFormat="1" ht="15.6" customHeight="1" thickBot="1" x14ac:dyDescent="0.3">
      <c r="A39" s="47" t="s">
        <v>52</v>
      </c>
      <c r="B39" s="25" t="s">
        <v>53</v>
      </c>
      <c r="C39" s="531"/>
      <c r="D39" s="532"/>
      <c r="E39" s="30"/>
      <c r="F39" s="373"/>
      <c r="G39" s="30"/>
    </row>
    <row r="40" spans="1:7" s="13" customFormat="1" x14ac:dyDescent="0.25">
      <c r="A40" s="517" t="s">
        <v>219</v>
      </c>
      <c r="B40" s="519" t="s">
        <v>222</v>
      </c>
      <c r="C40" s="521" t="s">
        <v>221</v>
      </c>
      <c r="D40" s="522"/>
      <c r="E40" s="29"/>
      <c r="F40" s="367" t="s">
        <v>464</v>
      </c>
      <c r="G40" s="29"/>
    </row>
    <row r="41" spans="1:7" s="13" customFormat="1" ht="14.45" customHeight="1" x14ac:dyDescent="0.25">
      <c r="A41" s="525"/>
      <c r="B41" s="526"/>
      <c r="C41" s="527" t="s">
        <v>220</v>
      </c>
      <c r="D41" s="528"/>
      <c r="E41" s="29"/>
      <c r="F41" s="334" t="s">
        <v>425</v>
      </c>
      <c r="G41" s="29"/>
    </row>
    <row r="42" spans="1:7" s="13" customFormat="1" ht="90" customHeight="1" thickBot="1" x14ac:dyDescent="0.3">
      <c r="A42" s="518"/>
      <c r="B42" s="526"/>
      <c r="C42" s="523"/>
      <c r="D42" s="524"/>
      <c r="E42" s="29"/>
      <c r="F42" s="329"/>
      <c r="G42" s="29"/>
    </row>
    <row r="43" spans="1:7" s="13" customFormat="1" ht="30" customHeight="1" thickBot="1" x14ac:dyDescent="0.3">
      <c r="A43" s="47" t="s">
        <v>219</v>
      </c>
      <c r="B43" s="25" t="s">
        <v>218</v>
      </c>
      <c r="C43" s="531"/>
      <c r="D43" s="532"/>
      <c r="E43" s="30"/>
      <c r="F43" s="373"/>
      <c r="G43" s="30"/>
    </row>
    <row r="44" spans="1:7" s="13" customFormat="1" ht="13.5" thickBot="1" x14ac:dyDescent="0.3">
      <c r="A44" s="541" t="s">
        <v>12</v>
      </c>
      <c r="B44" s="542" t="s">
        <v>142</v>
      </c>
      <c r="C44" s="521" t="s">
        <v>174</v>
      </c>
      <c r="D44" s="522"/>
      <c r="E44" s="29"/>
      <c r="F44" s="367" t="s">
        <v>398</v>
      </c>
      <c r="G44" s="29"/>
    </row>
    <row r="45" spans="1:7" s="13" customFormat="1" ht="13.5" thickBot="1" x14ac:dyDescent="0.3">
      <c r="A45" s="541"/>
      <c r="B45" s="542"/>
      <c r="C45" s="527" t="s">
        <v>175</v>
      </c>
      <c r="D45" s="528"/>
      <c r="E45" s="29"/>
      <c r="F45" s="334">
        <v>5675</v>
      </c>
      <c r="G45" s="29"/>
    </row>
    <row r="46" spans="1:7" s="13" customFormat="1" ht="13.5" thickBot="1" x14ac:dyDescent="0.3">
      <c r="A46" s="541"/>
      <c r="B46" s="542"/>
      <c r="C46" s="527" t="s">
        <v>176</v>
      </c>
      <c r="D46" s="528"/>
      <c r="E46" s="29"/>
      <c r="F46" s="419" t="s">
        <v>398</v>
      </c>
      <c r="G46" s="29"/>
    </row>
    <row r="47" spans="1:7" s="13" customFormat="1" ht="13.5" thickBot="1" x14ac:dyDescent="0.3">
      <c r="A47" s="541"/>
      <c r="B47" s="542"/>
      <c r="C47" s="527" t="s">
        <v>177</v>
      </c>
      <c r="D47" s="528"/>
      <c r="E47" s="29"/>
      <c r="F47" s="334">
        <v>5355</v>
      </c>
      <c r="G47" s="29"/>
    </row>
    <row r="48" spans="1:7" s="13" customFormat="1" ht="13.5" thickBot="1" x14ac:dyDescent="0.3">
      <c r="A48" s="541"/>
      <c r="B48" s="542"/>
      <c r="C48" s="527" t="s">
        <v>112</v>
      </c>
      <c r="D48" s="528"/>
      <c r="E48" s="29"/>
      <c r="F48" s="334" t="s">
        <v>465</v>
      </c>
      <c r="G48" s="29"/>
    </row>
    <row r="49" spans="1:7" s="13" customFormat="1" ht="13.5" thickBot="1" x14ac:dyDescent="0.3">
      <c r="A49" s="541"/>
      <c r="B49" s="542"/>
      <c r="C49" s="527" t="s">
        <v>113</v>
      </c>
      <c r="D49" s="528"/>
      <c r="E49" s="29"/>
      <c r="F49" s="334" t="s">
        <v>466</v>
      </c>
      <c r="G49" s="29"/>
    </row>
    <row r="50" spans="1:7" s="13" customFormat="1" ht="13.5" thickBot="1" x14ac:dyDescent="0.3">
      <c r="A50" s="541"/>
      <c r="B50" s="542"/>
      <c r="C50" s="529" t="s">
        <v>114</v>
      </c>
      <c r="D50" s="530"/>
      <c r="E50" s="29"/>
      <c r="F50" s="334" t="s">
        <v>465</v>
      </c>
      <c r="G50" s="29"/>
    </row>
    <row r="51" spans="1:7" s="13" customFormat="1" ht="13.5" thickBot="1" x14ac:dyDescent="0.3">
      <c r="A51" s="541"/>
      <c r="B51" s="542"/>
      <c r="C51" s="515" t="s">
        <v>115</v>
      </c>
      <c r="D51" s="516"/>
      <c r="E51" s="29"/>
      <c r="F51" s="343" t="s">
        <v>466</v>
      </c>
      <c r="G51" s="29"/>
    </row>
    <row r="52" spans="1:7" s="13" customFormat="1" x14ac:dyDescent="0.25">
      <c r="A52" s="517" t="s">
        <v>10</v>
      </c>
      <c r="B52" s="519" t="s">
        <v>217</v>
      </c>
      <c r="C52" s="521" t="s">
        <v>116</v>
      </c>
      <c r="D52" s="522"/>
      <c r="E52" s="29"/>
      <c r="F52" s="367">
        <v>5</v>
      </c>
      <c r="G52" s="29"/>
    </row>
    <row r="53" spans="1:7" s="13" customFormat="1" x14ac:dyDescent="0.25">
      <c r="A53" s="525"/>
      <c r="B53" s="526"/>
      <c r="C53" s="527" t="s">
        <v>117</v>
      </c>
      <c r="D53" s="528"/>
      <c r="E53" s="29"/>
      <c r="F53" s="334" t="s">
        <v>341</v>
      </c>
      <c r="G53" s="29"/>
    </row>
    <row r="54" spans="1:7" s="13" customFormat="1" ht="26.25" thickBot="1" x14ac:dyDescent="0.3">
      <c r="A54" s="525"/>
      <c r="B54" s="526"/>
      <c r="C54" s="523" t="s">
        <v>71</v>
      </c>
      <c r="D54" s="524"/>
      <c r="E54" s="29"/>
      <c r="F54" s="329" t="s">
        <v>467</v>
      </c>
      <c r="G54" s="29"/>
    </row>
    <row r="55" spans="1:7" s="13" customFormat="1" ht="80.099999999999994" customHeight="1" thickBot="1" x14ac:dyDescent="0.3">
      <c r="A55" s="48" t="s">
        <v>9</v>
      </c>
      <c r="B55" s="23" t="s">
        <v>254</v>
      </c>
      <c r="C55" s="529"/>
      <c r="D55" s="530"/>
      <c r="E55" s="29"/>
      <c r="F55" s="367"/>
      <c r="G55" s="29"/>
    </row>
    <row r="56" spans="1:7" s="13" customFormat="1" ht="29.45" customHeight="1" thickBot="1" x14ac:dyDescent="0.3">
      <c r="A56" s="48" t="s">
        <v>253</v>
      </c>
      <c r="B56" s="23" t="s">
        <v>252</v>
      </c>
      <c r="C56" s="531"/>
      <c r="D56" s="532"/>
      <c r="E56" s="30"/>
      <c r="F56" s="384"/>
      <c r="G56" s="30"/>
    </row>
    <row r="57" spans="1:7" s="13" customFormat="1" ht="25.5" x14ac:dyDescent="0.25">
      <c r="A57" s="517" t="s">
        <v>25</v>
      </c>
      <c r="B57" s="519" t="s">
        <v>93</v>
      </c>
      <c r="C57" s="521" t="s">
        <v>72</v>
      </c>
      <c r="D57" s="522"/>
      <c r="E57" s="29"/>
      <c r="F57" s="367" t="s">
        <v>468</v>
      </c>
      <c r="G57" s="29"/>
    </row>
    <row r="58" spans="1:7" s="13" customFormat="1" ht="56.1" customHeight="1" thickBot="1" x14ac:dyDescent="0.3">
      <c r="A58" s="518"/>
      <c r="B58" s="520"/>
      <c r="C58" s="515" t="s">
        <v>73</v>
      </c>
      <c r="D58" s="516"/>
      <c r="E58" s="29"/>
      <c r="F58" s="343">
        <v>185</v>
      </c>
      <c r="G58" s="29"/>
    </row>
    <row r="59" spans="1:7" s="13" customFormat="1" x14ac:dyDescent="0.25">
      <c r="A59" s="517" t="s">
        <v>26</v>
      </c>
      <c r="B59" s="519" t="s">
        <v>251</v>
      </c>
      <c r="C59" s="521" t="s">
        <v>74</v>
      </c>
      <c r="D59" s="522"/>
      <c r="E59" s="29"/>
      <c r="F59" s="367" t="s">
        <v>469</v>
      </c>
      <c r="G59" s="29"/>
    </row>
    <row r="60" spans="1:7" s="13" customFormat="1" x14ac:dyDescent="0.25">
      <c r="A60" s="525"/>
      <c r="B60" s="526"/>
      <c r="C60" s="527" t="s">
        <v>75</v>
      </c>
      <c r="D60" s="528"/>
      <c r="E60" s="29"/>
      <c r="F60" s="334">
        <v>3</v>
      </c>
      <c r="G60" s="29"/>
    </row>
    <row r="61" spans="1:7" s="13" customFormat="1" ht="32.25" customHeight="1" thickBot="1" x14ac:dyDescent="0.3">
      <c r="A61" s="518"/>
      <c r="B61" s="520"/>
      <c r="C61" s="515" t="s">
        <v>250</v>
      </c>
      <c r="D61" s="516"/>
      <c r="E61" s="29"/>
      <c r="F61" s="343" t="s">
        <v>470</v>
      </c>
      <c r="G61" s="29"/>
    </row>
    <row r="62" spans="1:7" s="13" customFormat="1" ht="15.6" customHeight="1" thickBot="1" x14ac:dyDescent="0.3">
      <c r="A62" s="47" t="s">
        <v>44</v>
      </c>
      <c r="B62" s="25" t="s">
        <v>45</v>
      </c>
      <c r="C62" s="531"/>
      <c r="D62" s="532"/>
      <c r="E62" s="30"/>
      <c r="F62" s="384"/>
      <c r="G62" s="30"/>
    </row>
    <row r="63" spans="1:7" s="13" customFormat="1" ht="28.5" customHeight="1" thickBot="1" x14ac:dyDescent="0.3">
      <c r="A63" s="47" t="s">
        <v>44</v>
      </c>
      <c r="B63" s="25" t="s">
        <v>63</v>
      </c>
      <c r="C63" s="531"/>
      <c r="D63" s="532"/>
      <c r="E63" s="30"/>
      <c r="F63" s="384"/>
      <c r="G63" s="30"/>
    </row>
    <row r="64" spans="1:7" s="13" customFormat="1" ht="28.5" customHeight="1" thickBot="1" x14ac:dyDescent="0.3">
      <c r="A64" s="47" t="s">
        <v>44</v>
      </c>
      <c r="B64" s="25" t="s">
        <v>64</v>
      </c>
      <c r="C64" s="531"/>
      <c r="D64" s="532"/>
      <c r="E64" s="30"/>
      <c r="F64" s="384"/>
      <c r="G64" s="30"/>
    </row>
    <row r="65" spans="1:7" s="13" customFormat="1" ht="27.95" customHeight="1" thickBot="1" x14ac:dyDescent="0.3">
      <c r="A65" s="47" t="s">
        <v>50</v>
      </c>
      <c r="B65" s="25" t="s">
        <v>216</v>
      </c>
      <c r="C65" s="531"/>
      <c r="D65" s="532"/>
      <c r="E65" s="30"/>
      <c r="F65" s="384"/>
      <c r="G65" s="30"/>
    </row>
    <row r="66" spans="1:7" s="13" customFormat="1" ht="15.95" customHeight="1" thickBot="1" x14ac:dyDescent="0.3">
      <c r="A66" s="47" t="s">
        <v>27</v>
      </c>
      <c r="B66" s="25" t="s">
        <v>215</v>
      </c>
      <c r="C66" s="543" t="s">
        <v>77</v>
      </c>
      <c r="D66" s="544"/>
      <c r="E66" s="29"/>
      <c r="F66" s="373" t="s">
        <v>406</v>
      </c>
      <c r="G66" s="29"/>
    </row>
    <row r="67" spans="1:7" s="13" customFormat="1" ht="54.95" customHeight="1" thickBot="1" x14ac:dyDescent="0.3">
      <c r="A67" s="47" t="s">
        <v>214</v>
      </c>
      <c r="B67" s="25" t="s">
        <v>213</v>
      </c>
      <c r="C67" s="543"/>
      <c r="D67" s="544"/>
      <c r="E67" s="29"/>
      <c r="F67" s="373"/>
      <c r="G67" s="29"/>
    </row>
    <row r="68" spans="1:7" s="13" customFormat="1" ht="15" customHeight="1" x14ac:dyDescent="0.25">
      <c r="A68" s="517" t="s">
        <v>28</v>
      </c>
      <c r="B68" s="519" t="s">
        <v>264</v>
      </c>
      <c r="C68" s="749" t="s">
        <v>248</v>
      </c>
      <c r="D68" s="522"/>
      <c r="E68" s="29"/>
      <c r="F68" s="367">
        <v>60</v>
      </c>
      <c r="G68" s="29"/>
    </row>
    <row r="69" spans="1:7" s="13" customFormat="1" ht="29.25" customHeight="1" thickBot="1" x14ac:dyDescent="0.3">
      <c r="A69" s="518"/>
      <c r="B69" s="520"/>
      <c r="C69" s="584" t="s">
        <v>247</v>
      </c>
      <c r="D69" s="516"/>
      <c r="E69" s="29"/>
      <c r="F69" s="343" t="s">
        <v>428</v>
      </c>
      <c r="G69" s="29"/>
    </row>
    <row r="70" spans="1:7" s="13" customFormat="1" ht="39.6" customHeight="1" thickBot="1" x14ac:dyDescent="0.3">
      <c r="A70" s="47" t="s">
        <v>51</v>
      </c>
      <c r="B70" s="25" t="s">
        <v>212</v>
      </c>
      <c r="C70" s="531"/>
      <c r="D70" s="532"/>
      <c r="E70" s="30"/>
      <c r="F70" s="373"/>
      <c r="G70" s="30"/>
    </row>
    <row r="71" spans="1:7" s="13" customFormat="1" ht="40.5" customHeight="1" thickBot="1" x14ac:dyDescent="0.3">
      <c r="A71" s="47" t="s">
        <v>54</v>
      </c>
      <c r="B71" s="25" t="s">
        <v>80</v>
      </c>
      <c r="C71" s="531"/>
      <c r="D71" s="532"/>
      <c r="E71" s="30"/>
      <c r="F71" s="373"/>
      <c r="G71" s="30"/>
    </row>
    <row r="72" spans="1:7" s="13" customFormat="1" ht="80.099999999999994" customHeight="1" thickBot="1" x14ac:dyDescent="0.3">
      <c r="A72" s="47" t="s">
        <v>29</v>
      </c>
      <c r="B72" s="25" t="s">
        <v>211</v>
      </c>
      <c r="C72" s="531"/>
      <c r="D72" s="532"/>
      <c r="E72" s="30"/>
      <c r="F72" s="373"/>
      <c r="G72" s="30"/>
    </row>
    <row r="73" spans="1:7" s="13" customFormat="1" ht="56.45" customHeight="1" thickBot="1" x14ac:dyDescent="0.3">
      <c r="A73" s="47" t="s">
        <v>31</v>
      </c>
      <c r="B73" s="25" t="s">
        <v>210</v>
      </c>
      <c r="C73" s="543" t="s">
        <v>30</v>
      </c>
      <c r="D73" s="544"/>
      <c r="E73" s="29"/>
      <c r="F73" s="373" t="s">
        <v>408</v>
      </c>
      <c r="G73" s="29"/>
    </row>
    <row r="74" spans="1:7" s="13" customFormat="1" ht="27" customHeight="1" thickBot="1" x14ac:dyDescent="0.3">
      <c r="A74" s="47" t="s">
        <v>55</v>
      </c>
      <c r="B74" s="25" t="s">
        <v>95</v>
      </c>
      <c r="C74" s="531"/>
      <c r="D74" s="532"/>
      <c r="E74" s="30"/>
      <c r="F74" s="373"/>
      <c r="G74" s="30"/>
    </row>
    <row r="75" spans="1:7" s="13" customFormat="1" ht="29.45" customHeight="1" thickBot="1" x14ac:dyDescent="0.3">
      <c r="A75" s="47" t="s">
        <v>32</v>
      </c>
      <c r="B75" s="25" t="s">
        <v>96</v>
      </c>
      <c r="C75" s="543" t="s">
        <v>30</v>
      </c>
      <c r="D75" s="544"/>
      <c r="E75" s="29"/>
      <c r="F75" s="373" t="s">
        <v>471</v>
      </c>
      <c r="G75" s="29"/>
    </row>
    <row r="76" spans="1:7" s="13" customFormat="1" ht="40.5" customHeight="1" thickBot="1" x14ac:dyDescent="0.3">
      <c r="A76" s="47" t="s">
        <v>56</v>
      </c>
      <c r="B76" s="25" t="s">
        <v>167</v>
      </c>
      <c r="C76" s="531"/>
      <c r="D76" s="532"/>
      <c r="E76" s="30"/>
      <c r="F76" s="373"/>
      <c r="G76" s="30"/>
    </row>
    <row r="77" spans="1:7" s="13" customFormat="1" ht="27.95" customHeight="1" thickBot="1" x14ac:dyDescent="0.3">
      <c r="A77" s="47" t="s">
        <v>48</v>
      </c>
      <c r="B77" s="25" t="s">
        <v>47</v>
      </c>
      <c r="C77" s="531"/>
      <c r="D77" s="532"/>
      <c r="E77" s="30"/>
      <c r="F77" s="373"/>
      <c r="G77" s="30"/>
    </row>
    <row r="78" spans="1:7" s="13" customFormat="1" ht="30" customHeight="1" thickBot="1" x14ac:dyDescent="0.3">
      <c r="A78" s="47" t="s">
        <v>49</v>
      </c>
      <c r="B78" s="25" t="s">
        <v>103</v>
      </c>
      <c r="C78" s="531"/>
      <c r="D78" s="532"/>
      <c r="E78" s="30"/>
      <c r="F78" s="373"/>
      <c r="G78" s="30"/>
    </row>
    <row r="79" spans="1:7" s="13" customFormat="1" ht="26.25" thickBot="1" x14ac:dyDescent="0.3">
      <c r="A79" s="47" t="s">
        <v>46</v>
      </c>
      <c r="B79" s="25" t="s">
        <v>81</v>
      </c>
      <c r="C79" s="531"/>
      <c r="D79" s="532"/>
      <c r="E79" s="30"/>
      <c r="F79" s="373"/>
      <c r="G79" s="30"/>
    </row>
    <row r="80" spans="1:7" ht="13.5" thickBot="1" x14ac:dyDescent="0.25"/>
    <row r="81" spans="1:6" s="16" customFormat="1" ht="18" customHeight="1" thickBot="1" x14ac:dyDescent="0.3">
      <c r="A81" s="536" t="s">
        <v>168</v>
      </c>
      <c r="B81" s="537"/>
      <c r="C81" s="537"/>
      <c r="D81" s="538"/>
      <c r="E81" s="33"/>
      <c r="F81" s="473" t="s">
        <v>334</v>
      </c>
    </row>
    <row r="82" spans="1:6" s="3" customFormat="1" ht="15" customHeight="1" thickBot="1" x14ac:dyDescent="0.3">
      <c r="A82" s="545" t="s">
        <v>169</v>
      </c>
      <c r="B82" s="546"/>
      <c r="C82" s="546"/>
      <c r="D82" s="547"/>
      <c r="E82" s="34"/>
      <c r="F82" s="415" t="s">
        <v>19</v>
      </c>
    </row>
    <row r="83" spans="1:6" s="13" customFormat="1" x14ac:dyDescent="0.25">
      <c r="A83" s="548" t="s">
        <v>83</v>
      </c>
      <c r="B83" s="549"/>
      <c r="C83" s="549"/>
      <c r="D83" s="550"/>
      <c r="E83" s="30"/>
      <c r="F83" s="420">
        <f>-1010*('PPI Adj'!D6)</f>
        <v>-1178.67</v>
      </c>
    </row>
    <row r="84" spans="1:6" s="13" customFormat="1" x14ac:dyDescent="0.25">
      <c r="A84" s="551" t="s">
        <v>34</v>
      </c>
      <c r="B84" s="552"/>
      <c r="C84" s="552"/>
      <c r="D84" s="553"/>
      <c r="E84" s="29"/>
      <c r="F84" s="421">
        <f>678*('PPI Adj'!D6)</f>
        <v>791.226</v>
      </c>
    </row>
    <row r="85" spans="1:6" s="13" customFormat="1" x14ac:dyDescent="0.25">
      <c r="A85" s="551" t="s">
        <v>35</v>
      </c>
      <c r="B85" s="552"/>
      <c r="C85" s="552"/>
      <c r="D85" s="553"/>
      <c r="E85" s="30"/>
      <c r="F85" s="421">
        <f>318*('PPI Adj'!D6)</f>
        <v>371.10599999999999</v>
      </c>
    </row>
    <row r="86" spans="1:6" s="13" customFormat="1" x14ac:dyDescent="0.25">
      <c r="A86" s="551" t="s">
        <v>36</v>
      </c>
      <c r="B86" s="552"/>
      <c r="C86" s="552"/>
      <c r="D86" s="553"/>
      <c r="E86" s="29"/>
      <c r="F86" s="421">
        <f>738*('PPI Adj'!D6)</f>
        <v>861.24599999999998</v>
      </c>
    </row>
    <row r="87" spans="1:6" s="13" customFormat="1" x14ac:dyDescent="0.25">
      <c r="A87" s="551" t="s">
        <v>60</v>
      </c>
      <c r="B87" s="552"/>
      <c r="C87" s="552"/>
      <c r="D87" s="553"/>
      <c r="E87" s="29"/>
      <c r="F87" s="421">
        <f>95*('PPI Adj'!D6)</f>
        <v>110.86500000000001</v>
      </c>
    </row>
    <row r="88" spans="1:6" s="13" customFormat="1" x14ac:dyDescent="0.25">
      <c r="A88" s="551" t="s">
        <v>61</v>
      </c>
      <c r="B88" s="552"/>
      <c r="C88" s="552"/>
      <c r="D88" s="553"/>
      <c r="E88" s="29"/>
      <c r="F88" s="421">
        <f>386*('PPI Adj'!D6)</f>
        <v>450.46199999999999</v>
      </c>
    </row>
    <row r="89" spans="1:6" s="13" customFormat="1" x14ac:dyDescent="0.25">
      <c r="A89" s="551" t="s">
        <v>86</v>
      </c>
      <c r="B89" s="552"/>
      <c r="C89" s="552"/>
      <c r="D89" s="553"/>
      <c r="E89" s="29"/>
      <c r="F89" s="421">
        <f>856*('PPI Adj'!D6)</f>
        <v>998.952</v>
      </c>
    </row>
    <row r="90" spans="1:6" x14ac:dyDescent="0.2">
      <c r="A90" s="551" t="s">
        <v>85</v>
      </c>
      <c r="B90" s="552"/>
      <c r="C90" s="552"/>
      <c r="D90" s="553"/>
      <c r="E90" s="29"/>
      <c r="F90" s="421">
        <f>7550.4*('PPI Adj'!D6)</f>
        <v>8811.3168000000005</v>
      </c>
    </row>
    <row r="91" spans="1:6" x14ac:dyDescent="0.2">
      <c r="A91" s="551" t="s">
        <v>13</v>
      </c>
      <c r="B91" s="552"/>
      <c r="C91" s="552"/>
      <c r="D91" s="553"/>
      <c r="E91" s="29"/>
      <c r="F91" s="421">
        <f>10801*('PPI Adj'!D6)</f>
        <v>12604.767</v>
      </c>
    </row>
    <row r="92" spans="1:6" x14ac:dyDescent="0.2">
      <c r="A92" s="551" t="s">
        <v>37</v>
      </c>
      <c r="B92" s="552"/>
      <c r="C92" s="552"/>
      <c r="D92" s="553"/>
      <c r="E92" s="30"/>
      <c r="F92" s="421">
        <f>1000*('PPI Adj'!D6)</f>
        <v>1167</v>
      </c>
    </row>
    <row r="93" spans="1:6" x14ac:dyDescent="0.2">
      <c r="A93" s="551" t="s">
        <v>38</v>
      </c>
      <c r="B93" s="552"/>
      <c r="C93" s="552"/>
      <c r="D93" s="553"/>
      <c r="E93" s="30"/>
      <c r="F93" s="421">
        <f>787*('PPI Adj'!D6)</f>
        <v>918.42899999999997</v>
      </c>
    </row>
    <row r="94" spans="1:6" x14ac:dyDescent="0.2">
      <c r="A94" s="551" t="s">
        <v>201</v>
      </c>
      <c r="B94" s="552"/>
      <c r="C94" s="552"/>
      <c r="D94" s="553"/>
      <c r="E94" s="30"/>
      <c r="F94" s="421" t="s">
        <v>183</v>
      </c>
    </row>
    <row r="95" spans="1:6" x14ac:dyDescent="0.2">
      <c r="A95" s="551" t="s">
        <v>39</v>
      </c>
      <c r="B95" s="552"/>
      <c r="C95" s="552"/>
      <c r="D95" s="553"/>
      <c r="E95" s="29"/>
      <c r="F95" s="421">
        <f>678*('PPI Adj'!D6)</f>
        <v>791.226</v>
      </c>
    </row>
    <row r="96" spans="1:6" x14ac:dyDescent="0.2">
      <c r="A96" s="551" t="s">
        <v>88</v>
      </c>
      <c r="B96" s="552"/>
      <c r="C96" s="552"/>
      <c r="D96" s="553"/>
      <c r="E96" s="29"/>
      <c r="F96" s="421">
        <f>4245*('PPI Adj'!D6)</f>
        <v>4953.915</v>
      </c>
    </row>
    <row r="97" spans="1:6" x14ac:dyDescent="0.2">
      <c r="A97" s="551" t="s">
        <v>40</v>
      </c>
      <c r="B97" s="552"/>
      <c r="C97" s="552"/>
      <c r="D97" s="553"/>
      <c r="E97" s="29"/>
      <c r="F97" s="421">
        <f>225*('PPI Adj'!D6)</f>
        <v>262.57499999999999</v>
      </c>
    </row>
    <row r="98" spans="1:6" x14ac:dyDescent="0.2">
      <c r="A98" s="551" t="s">
        <v>14</v>
      </c>
      <c r="B98" s="552"/>
      <c r="C98" s="552"/>
      <c r="D98" s="553"/>
      <c r="E98" s="29"/>
      <c r="F98" s="421">
        <f>10586.67*('PPI Adj'!D6)</f>
        <v>12354.643890000001</v>
      </c>
    </row>
    <row r="99" spans="1:6" x14ac:dyDescent="0.2">
      <c r="A99" s="551" t="s">
        <v>91</v>
      </c>
      <c r="B99" s="552"/>
      <c r="C99" s="552"/>
      <c r="D99" s="553"/>
      <c r="E99" s="29"/>
      <c r="F99" s="421">
        <f>1971*('PPI Adj'!D6)</f>
        <v>2300.1570000000002</v>
      </c>
    </row>
    <row r="100" spans="1:6" x14ac:dyDescent="0.2">
      <c r="A100" s="557" t="s">
        <v>272</v>
      </c>
      <c r="B100" s="558"/>
      <c r="C100" s="558"/>
      <c r="D100" s="559"/>
      <c r="E100" s="29"/>
      <c r="F100" s="422">
        <f>-1036*('PPI Adj'!D6)</f>
        <v>-1209.0119999999999</v>
      </c>
    </row>
    <row r="101" spans="1:6" ht="13.5" thickBot="1" x14ac:dyDescent="0.25">
      <c r="A101" s="554" t="s">
        <v>92</v>
      </c>
      <c r="B101" s="555"/>
      <c r="C101" s="555"/>
      <c r="D101" s="556"/>
      <c r="E101" s="30"/>
      <c r="F101" s="423">
        <f>-2023*('PPI Adj'!D6)</f>
        <v>-2360.8409999999999</v>
      </c>
    </row>
    <row r="102" spans="1:6" ht="13.5" thickBot="1" x14ac:dyDescent="0.25"/>
    <row r="103" spans="1:6" s="16" customFormat="1" ht="18" customHeight="1" thickBot="1" x14ac:dyDescent="0.3">
      <c r="A103" s="536" t="s">
        <v>166</v>
      </c>
      <c r="B103" s="537"/>
      <c r="C103" s="537"/>
      <c r="D103" s="538"/>
      <c r="E103" s="33"/>
      <c r="F103" s="473" t="s">
        <v>334</v>
      </c>
    </row>
    <row r="104" spans="1:6" s="3" customFormat="1" ht="15" customHeight="1" thickBot="1" x14ac:dyDescent="0.3">
      <c r="A104" s="49" t="s">
        <v>33</v>
      </c>
      <c r="B104" s="19" t="s">
        <v>7</v>
      </c>
      <c r="C104" s="560" t="s">
        <v>165</v>
      </c>
      <c r="D104" s="561"/>
      <c r="E104" s="34"/>
      <c r="F104" s="415" t="s">
        <v>19</v>
      </c>
    </row>
    <row r="105" spans="1:6" s="13" customFormat="1" ht="41.1" customHeight="1" thickBot="1" x14ac:dyDescent="0.3">
      <c r="A105" s="50" t="s">
        <v>83</v>
      </c>
      <c r="B105" s="18" t="s">
        <v>146</v>
      </c>
      <c r="C105" s="562"/>
      <c r="D105" s="563"/>
      <c r="E105" s="30"/>
      <c r="F105" s="373"/>
    </row>
    <row r="106" spans="1:6" s="13" customFormat="1" ht="26.25" thickBot="1" x14ac:dyDescent="0.3">
      <c r="A106" s="47" t="s">
        <v>34</v>
      </c>
      <c r="B106" s="25" t="s">
        <v>107</v>
      </c>
      <c r="C106" s="543" t="s">
        <v>30</v>
      </c>
      <c r="D106" s="544"/>
      <c r="E106" s="29"/>
      <c r="F106" s="373" t="s">
        <v>349</v>
      </c>
    </row>
    <row r="107" spans="1:6" s="13" customFormat="1" ht="51.95" customHeight="1" thickBot="1" x14ac:dyDescent="0.3">
      <c r="A107" s="47" t="s">
        <v>35</v>
      </c>
      <c r="B107" s="25" t="s">
        <v>97</v>
      </c>
      <c r="C107" s="531"/>
      <c r="D107" s="532"/>
      <c r="E107" s="30"/>
      <c r="F107" s="373"/>
    </row>
    <row r="108" spans="1:6" s="13" customFormat="1" ht="27" customHeight="1" thickBot="1" x14ac:dyDescent="0.3">
      <c r="A108" s="47" t="s">
        <v>36</v>
      </c>
      <c r="B108" s="25" t="s">
        <v>84</v>
      </c>
      <c r="C108" s="543" t="s">
        <v>99</v>
      </c>
      <c r="D108" s="544"/>
      <c r="E108" s="29"/>
      <c r="F108" s="373" t="s">
        <v>410</v>
      </c>
    </row>
    <row r="109" spans="1:6" s="13" customFormat="1" ht="12.75" customHeight="1" x14ac:dyDescent="0.25">
      <c r="A109" s="517" t="s">
        <v>60</v>
      </c>
      <c r="B109" s="519" t="s">
        <v>133</v>
      </c>
      <c r="C109" s="521" t="s">
        <v>203</v>
      </c>
      <c r="D109" s="522"/>
      <c r="E109" s="29"/>
      <c r="F109" s="367" t="s">
        <v>398</v>
      </c>
    </row>
    <row r="110" spans="1:6" s="13" customFormat="1" x14ac:dyDescent="0.25">
      <c r="A110" s="525"/>
      <c r="B110" s="526"/>
      <c r="C110" s="527" t="s">
        <v>202</v>
      </c>
      <c r="D110" s="528"/>
      <c r="E110" s="29"/>
      <c r="F110" s="334">
        <v>5355</v>
      </c>
    </row>
    <row r="111" spans="1:6" s="13" customFormat="1" x14ac:dyDescent="0.25">
      <c r="A111" s="525"/>
      <c r="B111" s="526"/>
      <c r="C111" s="527" t="s">
        <v>114</v>
      </c>
      <c r="D111" s="528"/>
      <c r="E111" s="29"/>
      <c r="F111" s="334" t="s">
        <v>472</v>
      </c>
    </row>
    <row r="112" spans="1:6" s="13" customFormat="1" ht="30.75" customHeight="1" thickBot="1" x14ac:dyDescent="0.3">
      <c r="A112" s="518"/>
      <c r="B112" s="520"/>
      <c r="C112" s="515" t="s">
        <v>115</v>
      </c>
      <c r="D112" s="516"/>
      <c r="E112" s="29"/>
      <c r="F112" s="343" t="s">
        <v>473</v>
      </c>
    </row>
    <row r="113" spans="1:6" s="13" customFormat="1" ht="12.75" customHeight="1" x14ac:dyDescent="0.25">
      <c r="A113" s="517" t="s">
        <v>61</v>
      </c>
      <c r="B113" s="519" t="s">
        <v>206</v>
      </c>
      <c r="C113" s="521" t="s">
        <v>205</v>
      </c>
      <c r="D113" s="522"/>
      <c r="E113" s="29"/>
      <c r="F113" s="367" t="s">
        <v>474</v>
      </c>
    </row>
    <row r="114" spans="1:6" s="13" customFormat="1" x14ac:dyDescent="0.25">
      <c r="A114" s="525"/>
      <c r="B114" s="526"/>
      <c r="C114" s="527" t="s">
        <v>204</v>
      </c>
      <c r="D114" s="528"/>
      <c r="E114" s="29"/>
      <c r="F114" s="419">
        <v>5675</v>
      </c>
    </row>
    <row r="115" spans="1:6" s="13" customFormat="1" x14ac:dyDescent="0.25">
      <c r="A115" s="525"/>
      <c r="B115" s="526"/>
      <c r="C115" s="527" t="s">
        <v>203</v>
      </c>
      <c r="D115" s="528"/>
      <c r="E115" s="29"/>
      <c r="F115" s="419" t="s">
        <v>474</v>
      </c>
    </row>
    <row r="116" spans="1:6" s="13" customFormat="1" x14ac:dyDescent="0.25">
      <c r="A116" s="525"/>
      <c r="B116" s="526"/>
      <c r="C116" s="527" t="s">
        <v>202</v>
      </c>
      <c r="D116" s="528"/>
      <c r="E116" s="29"/>
      <c r="F116" s="334">
        <v>5355</v>
      </c>
    </row>
    <row r="117" spans="1:6" s="13" customFormat="1" x14ac:dyDescent="0.25">
      <c r="A117" s="525"/>
      <c r="B117" s="526"/>
      <c r="C117" s="527" t="s">
        <v>112</v>
      </c>
      <c r="D117" s="528"/>
      <c r="E117" s="29"/>
      <c r="F117" s="334" t="s">
        <v>475</v>
      </c>
    </row>
    <row r="118" spans="1:6" s="13" customFormat="1" x14ac:dyDescent="0.25">
      <c r="A118" s="525"/>
      <c r="B118" s="526"/>
      <c r="C118" s="527" t="s">
        <v>113</v>
      </c>
      <c r="D118" s="528"/>
      <c r="E118" s="29"/>
      <c r="F118" s="419" t="s">
        <v>415</v>
      </c>
    </row>
    <row r="119" spans="1:6" s="13" customFormat="1" x14ac:dyDescent="0.25">
      <c r="A119" s="525"/>
      <c r="B119" s="526"/>
      <c r="C119" s="527" t="s">
        <v>114</v>
      </c>
      <c r="D119" s="528"/>
      <c r="E119" s="29"/>
      <c r="F119" s="419" t="s">
        <v>475</v>
      </c>
    </row>
    <row r="120" spans="1:6" s="13" customFormat="1" ht="13.5" thickBot="1" x14ac:dyDescent="0.3">
      <c r="A120" s="518"/>
      <c r="B120" s="520"/>
      <c r="C120" s="515" t="s">
        <v>115</v>
      </c>
      <c r="D120" s="516"/>
      <c r="E120" s="29"/>
      <c r="F120" s="343" t="s">
        <v>415</v>
      </c>
    </row>
    <row r="121" spans="1:6" s="13" customFormat="1" ht="143.44999999999999" customHeight="1" thickBot="1" x14ac:dyDescent="0.3">
      <c r="A121" s="51" t="s">
        <v>86</v>
      </c>
      <c r="B121" s="17" t="s">
        <v>143</v>
      </c>
      <c r="C121" s="543" t="s">
        <v>104</v>
      </c>
      <c r="D121" s="544"/>
      <c r="E121" s="29"/>
      <c r="F121" s="367" t="s">
        <v>476</v>
      </c>
    </row>
    <row r="122" spans="1:6" ht="169.5" customHeight="1" thickBot="1" x14ac:dyDescent="0.25">
      <c r="A122" s="47" t="s">
        <v>85</v>
      </c>
      <c r="B122" s="14" t="s">
        <v>170</v>
      </c>
      <c r="C122" s="543" t="s">
        <v>104</v>
      </c>
      <c r="D122" s="544"/>
      <c r="E122" s="29"/>
      <c r="F122" s="373" t="s">
        <v>477</v>
      </c>
    </row>
    <row r="123" spans="1:6" x14ac:dyDescent="0.2">
      <c r="A123" s="517" t="s">
        <v>13</v>
      </c>
      <c r="B123" s="519" t="s">
        <v>98</v>
      </c>
      <c r="C123" s="521" t="s">
        <v>30</v>
      </c>
      <c r="D123" s="522"/>
      <c r="E123" s="29"/>
      <c r="F123" s="367" t="s">
        <v>358</v>
      </c>
    </row>
    <row r="124" spans="1:6" ht="30.6" customHeight="1" thickBot="1" x14ac:dyDescent="0.25">
      <c r="A124" s="518"/>
      <c r="B124" s="520"/>
      <c r="C124" s="515" t="s">
        <v>109</v>
      </c>
      <c r="D124" s="516"/>
      <c r="E124" s="29"/>
      <c r="F124" s="343" t="s">
        <v>359</v>
      </c>
    </row>
    <row r="125" spans="1:6" ht="65.45" customHeight="1" thickBot="1" x14ac:dyDescent="0.25">
      <c r="A125" s="47" t="s">
        <v>37</v>
      </c>
      <c r="B125" s="25" t="s">
        <v>135</v>
      </c>
      <c r="C125" s="531"/>
      <c r="D125" s="532"/>
      <c r="E125" s="30"/>
      <c r="F125" s="373" t="s">
        <v>375</v>
      </c>
    </row>
    <row r="126" spans="1:6" ht="40.5" customHeight="1" thickBot="1" x14ac:dyDescent="0.25">
      <c r="A126" s="47" t="s">
        <v>38</v>
      </c>
      <c r="B126" s="25" t="s">
        <v>87</v>
      </c>
      <c r="C126" s="531"/>
      <c r="D126" s="532"/>
      <c r="E126" s="30"/>
      <c r="F126" s="373"/>
    </row>
    <row r="127" spans="1:6" ht="14.45" customHeight="1" thickBot="1" x14ac:dyDescent="0.25">
      <c r="A127" s="47" t="s">
        <v>201</v>
      </c>
      <c r="B127" s="25" t="s">
        <v>200</v>
      </c>
      <c r="C127" s="543"/>
      <c r="D127" s="544"/>
      <c r="E127" s="29"/>
      <c r="F127" s="373"/>
    </row>
    <row r="128" spans="1:6" ht="28.5" customHeight="1" thickBot="1" x14ac:dyDescent="0.25">
      <c r="A128" s="47" t="s">
        <v>39</v>
      </c>
      <c r="B128" s="25" t="s">
        <v>106</v>
      </c>
      <c r="C128" s="543" t="s">
        <v>105</v>
      </c>
      <c r="D128" s="544"/>
      <c r="E128" s="29"/>
      <c r="F128" s="373" t="s">
        <v>323</v>
      </c>
    </row>
    <row r="129" spans="1:6" x14ac:dyDescent="0.2">
      <c r="A129" s="517" t="s">
        <v>88</v>
      </c>
      <c r="B129" s="519" t="s">
        <v>148</v>
      </c>
      <c r="C129" s="521" t="s">
        <v>100</v>
      </c>
      <c r="D129" s="522"/>
      <c r="E129" s="29"/>
      <c r="F129" s="367" t="s">
        <v>420</v>
      </c>
    </row>
    <row r="130" spans="1:6" ht="108" customHeight="1" thickBot="1" x14ac:dyDescent="0.25">
      <c r="A130" s="518"/>
      <c r="B130" s="520"/>
      <c r="C130" s="515" t="s">
        <v>110</v>
      </c>
      <c r="D130" s="516"/>
      <c r="E130" s="29"/>
      <c r="F130" s="424" t="s">
        <v>435</v>
      </c>
    </row>
    <row r="131" spans="1:6" ht="26.25" thickBot="1" x14ac:dyDescent="0.25">
      <c r="A131" s="47" t="s">
        <v>40</v>
      </c>
      <c r="B131" s="25" t="s">
        <v>137</v>
      </c>
      <c r="C131" s="543" t="s">
        <v>100</v>
      </c>
      <c r="D131" s="544"/>
      <c r="E131" s="29"/>
      <c r="F131" s="343" t="s">
        <v>360</v>
      </c>
    </row>
    <row r="132" spans="1:6" ht="54.6" customHeight="1" thickBot="1" x14ac:dyDescent="0.25">
      <c r="A132" s="47" t="s">
        <v>14</v>
      </c>
      <c r="B132" s="25" t="s">
        <v>138</v>
      </c>
      <c r="C132" s="543" t="s">
        <v>139</v>
      </c>
      <c r="D132" s="544"/>
      <c r="E132" s="29"/>
      <c r="F132" s="373">
        <v>2</v>
      </c>
    </row>
    <row r="133" spans="1:6" ht="64.5" customHeight="1" thickBot="1" x14ac:dyDescent="0.25">
      <c r="A133" s="47" t="s">
        <v>91</v>
      </c>
      <c r="B133" s="25" t="s">
        <v>144</v>
      </c>
      <c r="C133" s="543" t="s">
        <v>100</v>
      </c>
      <c r="D133" s="544"/>
      <c r="E133" s="29"/>
      <c r="F133" s="373" t="s">
        <v>361</v>
      </c>
    </row>
    <row r="134" spans="1:6" ht="66" customHeight="1" thickBot="1" x14ac:dyDescent="0.25">
      <c r="A134" s="47" t="s">
        <v>92</v>
      </c>
      <c r="B134" s="25" t="s">
        <v>145</v>
      </c>
      <c r="C134" s="531"/>
      <c r="D134" s="532"/>
      <c r="E134" s="30"/>
      <c r="F134" s="373"/>
    </row>
  </sheetData>
  <sheetProtection algorithmName="SHA-512" hashValue="UyBVNUD8LOwmIF2/ku6WcWBCL6XvVOByS/wT8L0rpApbiY5zqVO0DqY8TcAUSGMX4t1Wv5zEqi3OB1ZNJqVaNg==" saltValue="NUrQCA/po//QM6A3PTn+sQ=="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49" priority="38">
      <formula>#REF!="NO"</formula>
    </cfRule>
  </conditionalFormatting>
  <conditionalFormatting sqref="C40:D42">
    <cfRule type="expression" dxfId="48" priority="8">
      <formula>$F$2="NO"</formula>
    </cfRule>
  </conditionalFormatting>
  <conditionalFormatting sqref="C26:E39">
    <cfRule type="expression" dxfId="47" priority="39">
      <formula>#REF!="NO"</formula>
    </cfRule>
  </conditionalFormatting>
  <conditionalFormatting sqref="C43:E79">
    <cfRule type="expression" dxfId="46" priority="7">
      <formula>#REF!="NO"</formula>
    </cfRule>
  </conditionalFormatting>
  <conditionalFormatting sqref="C105:F134">
    <cfRule type="expression" dxfId="45" priority="12">
      <formula>#REF!="NO"</formula>
    </cfRule>
  </conditionalFormatting>
  <conditionalFormatting sqref="E40:E42">
    <cfRule type="expression" dxfId="44" priority="11">
      <formula>#REF!="NO"</formula>
    </cfRule>
  </conditionalFormatting>
  <conditionalFormatting sqref="E83:F101">
    <cfRule type="expression" dxfId="43" priority="1">
      <formula>#REF!="NO"</formula>
    </cfRule>
  </conditionalFormatting>
  <conditionalFormatting sqref="F8:F17">
    <cfRule type="expression" dxfId="42" priority="35">
      <formula>#REF!="NO"</formula>
    </cfRule>
  </conditionalFormatting>
  <conditionalFormatting sqref="F21:F22">
    <cfRule type="expression" dxfId="41" priority="36">
      <formula>#REF!="NO"</formula>
    </cfRule>
  </conditionalFormatting>
  <conditionalFormatting sqref="F26:G79">
    <cfRule type="expression" dxfId="40" priority="5">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900-000002000000}">
      <formula1>0.01</formula1>
      <formula2>100</formula2>
    </dataValidation>
    <dataValidation type="decimal" allowBlank="1" showInputMessage="1" showErrorMessage="1" error="Invalid Entry - Bidder must enter a value that is greater than $0" sqref="F21" xr:uid="{00000000-0002-0000-0900-000001000000}">
      <formula1>0</formula1>
      <formula2>9E+21</formula2>
    </dataValidation>
    <dataValidation type="decimal" operator="greaterThanOrEqual" allowBlank="1" showInputMessage="1" showErrorMessage="1" error="The Pickup Allowance cannot be a negative number." sqref="F16" xr:uid="{00000000-0002-0000-09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EFE9-19DD-400C-B384-31EADCA1CF90}">
  <sheetPr>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21"/>
    </row>
    <row r="3" spans="1:7" ht="24" thickBot="1" x14ac:dyDescent="0.25">
      <c r="A3" s="833" t="s">
        <v>314</v>
      </c>
      <c r="B3" s="834"/>
      <c r="C3" s="834"/>
      <c r="D3" s="835"/>
      <c r="E3" s="8"/>
      <c r="F3" s="304"/>
      <c r="G3" s="8"/>
    </row>
    <row r="4" spans="1:7" ht="51" customHeight="1" thickBot="1" x14ac:dyDescent="0.25">
      <c r="A4" s="506" t="s">
        <v>313</v>
      </c>
      <c r="B4" s="507"/>
      <c r="C4" s="507"/>
      <c r="D4" s="508"/>
      <c r="E4" s="8"/>
      <c r="F4" s="304"/>
      <c r="G4" s="8"/>
    </row>
    <row r="5" spans="1:7" s="4" customFormat="1" ht="11.25" customHeight="1" thickBot="1" x14ac:dyDescent="0.3">
      <c r="A5" s="411"/>
      <c r="B5" s="411"/>
      <c r="C5" s="411"/>
      <c r="D5" s="411"/>
      <c r="E5" s="411"/>
      <c r="F5" s="413"/>
    </row>
    <row r="6" spans="1:7" s="7" customFormat="1" ht="16.5" customHeight="1" thickBot="1" x14ac:dyDescent="0.25">
      <c r="A6" s="509" t="s">
        <v>151</v>
      </c>
      <c r="B6" s="510"/>
      <c r="C6" s="510"/>
      <c r="D6" s="511"/>
      <c r="E6" s="31"/>
      <c r="F6" s="473" t="s">
        <v>334</v>
      </c>
      <c r="G6" s="31"/>
    </row>
    <row r="7" spans="1:7" s="4" customFormat="1" ht="15" customHeight="1" thickBot="1" x14ac:dyDescent="0.3">
      <c r="A7" s="37" t="s">
        <v>6</v>
      </c>
      <c r="B7" s="22" t="s">
        <v>165</v>
      </c>
      <c r="C7" s="27"/>
      <c r="D7" s="35"/>
      <c r="E7" s="32"/>
      <c r="F7" s="415" t="s">
        <v>19</v>
      </c>
      <c r="G7" s="32"/>
    </row>
    <row r="8" spans="1:7" ht="65.25" thickTop="1" thickBot="1" x14ac:dyDescent="0.25">
      <c r="A8" s="38" t="s">
        <v>9</v>
      </c>
      <c r="B8" s="500" t="s">
        <v>152</v>
      </c>
      <c r="C8" s="501"/>
      <c r="D8" s="502"/>
      <c r="E8" s="13"/>
      <c r="F8" s="324" t="s">
        <v>459</v>
      </c>
      <c r="G8" s="13"/>
    </row>
    <row r="9" spans="1:7" s="7" customFormat="1" ht="44.25" customHeight="1" thickTop="1" thickBot="1" x14ac:dyDescent="0.25">
      <c r="A9" s="38" t="s">
        <v>136</v>
      </c>
      <c r="B9" s="500" t="s">
        <v>191</v>
      </c>
      <c r="C9" s="501"/>
      <c r="D9" s="502"/>
      <c r="E9" s="13"/>
      <c r="F9" s="324" t="s">
        <v>478</v>
      </c>
      <c r="G9" s="13"/>
    </row>
    <row r="10" spans="1:7" ht="12.75" customHeight="1" thickTop="1" x14ac:dyDescent="0.2">
      <c r="A10" s="39" t="s">
        <v>0</v>
      </c>
      <c r="B10" s="491" t="s">
        <v>154</v>
      </c>
      <c r="C10" s="492"/>
      <c r="D10" s="493"/>
      <c r="E10" s="13"/>
      <c r="F10" s="334" t="s">
        <v>334</v>
      </c>
      <c r="G10" s="13"/>
    </row>
    <row r="11" spans="1:7" x14ac:dyDescent="0.2">
      <c r="A11" s="39" t="s">
        <v>1</v>
      </c>
      <c r="B11" s="491" t="s">
        <v>153</v>
      </c>
      <c r="C11" s="492"/>
      <c r="D11" s="493"/>
      <c r="E11" s="13"/>
      <c r="F11" s="334" t="s">
        <v>461</v>
      </c>
      <c r="G11" s="13"/>
    </row>
    <row r="12" spans="1:7" ht="12.75" customHeight="1" thickBot="1" x14ac:dyDescent="0.25">
      <c r="A12" s="40" t="s">
        <v>2</v>
      </c>
      <c r="B12" s="494" t="s">
        <v>155</v>
      </c>
      <c r="C12" s="495"/>
      <c r="D12" s="496"/>
      <c r="E12" s="13"/>
      <c r="F12" s="336" t="s">
        <v>462</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462</v>
      </c>
      <c r="G14" s="13"/>
    </row>
    <row r="15" spans="1:7" ht="15.75" customHeight="1" thickBot="1" x14ac:dyDescent="0.25">
      <c r="A15" s="41" t="s">
        <v>5</v>
      </c>
      <c r="B15" s="494" t="s">
        <v>158</v>
      </c>
      <c r="C15" s="495"/>
      <c r="D15" s="496"/>
      <c r="E15" s="13"/>
      <c r="F15" s="341" t="s">
        <v>479</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16.5" customHeight="1" thickBot="1" x14ac:dyDescent="0.25">
      <c r="A19" s="509" t="s">
        <v>150</v>
      </c>
      <c r="B19" s="510"/>
      <c r="C19" s="510"/>
      <c r="D19" s="511"/>
      <c r="E19" s="31"/>
      <c r="F19" s="473" t="s">
        <v>334</v>
      </c>
      <c r="G19" s="31"/>
    </row>
    <row r="20" spans="1:7" s="4" customFormat="1" ht="15" customHeight="1" thickBot="1" x14ac:dyDescent="0.3">
      <c r="A20" s="52" t="s">
        <v>6</v>
      </c>
      <c r="B20" s="26" t="s">
        <v>165</v>
      </c>
      <c r="C20" s="28"/>
      <c r="D20" s="45"/>
      <c r="E20" s="32"/>
      <c r="F20" s="415" t="s">
        <v>19</v>
      </c>
      <c r="G20" s="32"/>
    </row>
    <row r="21" spans="1:7" ht="56.25" customHeight="1" x14ac:dyDescent="0.2">
      <c r="A21" s="42" t="s">
        <v>42</v>
      </c>
      <c r="B21" s="512" t="s">
        <v>161</v>
      </c>
      <c r="C21" s="513"/>
      <c r="D21" s="514"/>
      <c r="E21" s="13"/>
      <c r="F21" s="416">
        <f>142242.13*('PPI Adj'!D6)</f>
        <v>165996.56571000002</v>
      </c>
      <c r="G21" s="13"/>
    </row>
    <row r="22" spans="1:7" ht="33" customHeight="1" thickBot="1" x14ac:dyDescent="0.25">
      <c r="A22" s="43" t="s">
        <v>41</v>
      </c>
      <c r="B22" s="533" t="s">
        <v>163</v>
      </c>
      <c r="C22" s="534"/>
      <c r="D22" s="535"/>
      <c r="E22" s="1"/>
      <c r="F22" s="354">
        <v>20</v>
      </c>
      <c r="G22" s="1"/>
    </row>
    <row r="23" spans="1:7" ht="13.5" thickBot="1" x14ac:dyDescent="0.25">
      <c r="A23" s="69"/>
      <c r="B23" s="1"/>
      <c r="C23" s="1"/>
      <c r="D23" s="1"/>
      <c r="E23" s="1"/>
      <c r="F23" s="418"/>
      <c r="G23" s="1"/>
    </row>
    <row r="24" spans="1:7" s="7" customFormat="1" ht="15.75" customHeight="1" thickBot="1" x14ac:dyDescent="0.25">
      <c r="A24" s="536" t="s">
        <v>164</v>
      </c>
      <c r="B24" s="537"/>
      <c r="C24" s="537"/>
      <c r="D24" s="538"/>
      <c r="E24" s="33"/>
      <c r="F24" s="473" t="s">
        <v>334</v>
      </c>
      <c r="G24" s="33"/>
    </row>
    <row r="25" spans="1:7" s="3" customFormat="1" ht="15" customHeight="1" thickBot="1" x14ac:dyDescent="0.3">
      <c r="A25" s="52" t="s">
        <v>6</v>
      </c>
      <c r="B25" s="53" t="s">
        <v>7</v>
      </c>
      <c r="C25" s="539" t="s">
        <v>165</v>
      </c>
      <c r="D25" s="540"/>
      <c r="E25" s="34"/>
      <c r="F25" s="415" t="s">
        <v>19</v>
      </c>
      <c r="G25" s="34"/>
    </row>
    <row r="26" spans="1:7" s="13" customFormat="1" ht="66.95" customHeight="1" thickBot="1" x14ac:dyDescent="0.3">
      <c r="A26" s="46" t="s">
        <v>8</v>
      </c>
      <c r="B26" s="25" t="s">
        <v>310</v>
      </c>
      <c r="C26" s="515" t="s">
        <v>118</v>
      </c>
      <c r="D26" s="516"/>
      <c r="E26" s="29"/>
      <c r="F26" s="343">
        <v>31350</v>
      </c>
      <c r="G26" s="29"/>
    </row>
    <row r="27" spans="1:7" s="13" customFormat="1" x14ac:dyDescent="0.25">
      <c r="A27" s="517" t="s">
        <v>21</v>
      </c>
      <c r="B27" s="519" t="s">
        <v>312</v>
      </c>
      <c r="C27" s="521" t="s">
        <v>67</v>
      </c>
      <c r="D27" s="522"/>
      <c r="E27" s="29"/>
      <c r="F27" s="367">
        <v>11</v>
      </c>
      <c r="G27" s="29"/>
    </row>
    <row r="28" spans="1:7" s="13" customFormat="1" ht="13.5" thickBot="1" x14ac:dyDescent="0.3">
      <c r="A28" s="518"/>
      <c r="B28" s="520"/>
      <c r="C28" s="515" t="s">
        <v>68</v>
      </c>
      <c r="D28" s="516"/>
      <c r="E28" s="29"/>
      <c r="F28" s="343">
        <v>66</v>
      </c>
      <c r="G28" s="29"/>
    </row>
    <row r="29" spans="1:7" s="13" customFormat="1" ht="13.5" thickBot="1" x14ac:dyDescent="0.3">
      <c r="A29" s="47" t="s">
        <v>123</v>
      </c>
      <c r="B29" s="25" t="s">
        <v>108</v>
      </c>
      <c r="C29" s="531"/>
      <c r="D29" s="532"/>
      <c r="E29" s="30"/>
      <c r="F29" s="373"/>
      <c r="G29" s="30"/>
    </row>
    <row r="30" spans="1:7" s="13" customFormat="1" x14ac:dyDescent="0.25">
      <c r="A30" s="517" t="s">
        <v>59</v>
      </c>
      <c r="B30" s="519"/>
      <c r="C30" s="521" t="s">
        <v>58</v>
      </c>
      <c r="D30" s="522"/>
      <c r="E30" s="29"/>
      <c r="F30" s="367">
        <v>174</v>
      </c>
      <c r="G30" s="29"/>
    </row>
    <row r="31" spans="1:7" s="13" customFormat="1" x14ac:dyDescent="0.25">
      <c r="A31" s="525"/>
      <c r="B31" s="526"/>
      <c r="C31" s="527" t="s">
        <v>57</v>
      </c>
      <c r="D31" s="528"/>
      <c r="E31" s="29"/>
      <c r="F31" s="334">
        <v>395.3</v>
      </c>
      <c r="G31" s="29"/>
    </row>
    <row r="32" spans="1:7" s="13" customFormat="1" x14ac:dyDescent="0.25">
      <c r="A32" s="525"/>
      <c r="B32" s="526"/>
      <c r="C32" s="527" t="s">
        <v>69</v>
      </c>
      <c r="D32" s="528"/>
      <c r="E32" s="29"/>
      <c r="F32" s="334">
        <v>90</v>
      </c>
      <c r="G32" s="29"/>
    </row>
    <row r="33" spans="1:7" s="13" customFormat="1" x14ac:dyDescent="0.25">
      <c r="A33" s="525"/>
      <c r="B33" s="526"/>
      <c r="C33" s="529" t="s">
        <v>70</v>
      </c>
      <c r="D33" s="530"/>
      <c r="E33" s="29"/>
      <c r="F33" s="334">
        <v>78</v>
      </c>
      <c r="G33" s="29"/>
    </row>
    <row r="34" spans="1:7" s="13" customFormat="1" ht="13.5" thickBot="1" x14ac:dyDescent="0.3">
      <c r="A34" s="518"/>
      <c r="B34" s="520"/>
      <c r="C34" s="515" t="s">
        <v>111</v>
      </c>
      <c r="D34" s="516"/>
      <c r="E34" s="29"/>
      <c r="F34" s="343">
        <v>255</v>
      </c>
      <c r="G34" s="29"/>
    </row>
    <row r="35" spans="1:7" s="13" customFormat="1" x14ac:dyDescent="0.25">
      <c r="A35" s="517" t="s">
        <v>11</v>
      </c>
      <c r="B35" s="519"/>
      <c r="C35" s="521" t="s">
        <v>24</v>
      </c>
      <c r="D35" s="522"/>
      <c r="E35" s="29"/>
      <c r="F35" s="367">
        <v>11350</v>
      </c>
      <c r="G35" s="29"/>
    </row>
    <row r="36" spans="1:7" s="13" customFormat="1" ht="13.5" thickBot="1" x14ac:dyDescent="0.3">
      <c r="A36" s="518"/>
      <c r="B36" s="520"/>
      <c r="C36" s="515" t="s">
        <v>22</v>
      </c>
      <c r="D36" s="516"/>
      <c r="E36" s="29"/>
      <c r="F36" s="343">
        <v>14600</v>
      </c>
      <c r="G36" s="29"/>
    </row>
    <row r="37" spans="1:7" s="13" customFormat="1" x14ac:dyDescent="0.25">
      <c r="A37" s="517" t="s">
        <v>16</v>
      </c>
      <c r="B37" s="519"/>
      <c r="C37" s="521" t="s">
        <v>24</v>
      </c>
      <c r="D37" s="522"/>
      <c r="E37" s="29"/>
      <c r="F37" s="367">
        <v>20000</v>
      </c>
      <c r="G37" s="29"/>
    </row>
    <row r="38" spans="1:7" s="13" customFormat="1" ht="13.5" thickBot="1" x14ac:dyDescent="0.3">
      <c r="A38" s="518"/>
      <c r="B38" s="520"/>
      <c r="C38" s="523" t="s">
        <v>23</v>
      </c>
      <c r="D38" s="524"/>
      <c r="E38" s="29"/>
      <c r="F38" s="343">
        <v>20000</v>
      </c>
      <c r="G38" s="29"/>
    </row>
    <row r="39" spans="1:7" s="13" customFormat="1" ht="15.6" customHeight="1" thickBot="1" x14ac:dyDescent="0.3">
      <c r="A39" s="47" t="s">
        <v>52</v>
      </c>
      <c r="B39" s="25" t="s">
        <v>53</v>
      </c>
      <c r="C39" s="531"/>
      <c r="D39" s="532"/>
      <c r="E39" s="30"/>
      <c r="F39" s="373"/>
      <c r="G39" s="30"/>
    </row>
    <row r="40" spans="1:7" s="13" customFormat="1" x14ac:dyDescent="0.25">
      <c r="A40" s="517" t="s">
        <v>219</v>
      </c>
      <c r="B40" s="519" t="s">
        <v>222</v>
      </c>
      <c r="C40" s="521" t="s">
        <v>221</v>
      </c>
      <c r="D40" s="522"/>
      <c r="E40" s="29"/>
      <c r="F40" s="367" t="s">
        <v>464</v>
      </c>
      <c r="G40" s="29"/>
    </row>
    <row r="41" spans="1:7" s="13" customFormat="1" ht="14.45" customHeight="1" x14ac:dyDescent="0.25">
      <c r="A41" s="525"/>
      <c r="B41" s="526"/>
      <c r="C41" s="527" t="s">
        <v>220</v>
      </c>
      <c r="D41" s="528"/>
      <c r="E41" s="29"/>
      <c r="F41" s="334" t="s">
        <v>425</v>
      </c>
      <c r="G41" s="29"/>
    </row>
    <row r="42" spans="1:7" s="13" customFormat="1" ht="71.099999999999994" customHeight="1" thickBot="1" x14ac:dyDescent="0.3">
      <c r="A42" s="518"/>
      <c r="B42" s="526"/>
      <c r="C42" s="523"/>
      <c r="D42" s="524"/>
      <c r="E42" s="29"/>
      <c r="F42" s="329"/>
      <c r="G42" s="29"/>
    </row>
    <row r="43" spans="1:7" s="13" customFormat="1" ht="29.45" customHeight="1" thickBot="1" x14ac:dyDescent="0.3">
      <c r="A43" s="47" t="s">
        <v>219</v>
      </c>
      <c r="B43" s="25" t="s">
        <v>218</v>
      </c>
      <c r="C43" s="531"/>
      <c r="D43" s="532"/>
      <c r="E43" s="30"/>
      <c r="F43" s="373"/>
      <c r="G43" s="30"/>
    </row>
    <row r="44" spans="1:7" s="13" customFormat="1" ht="13.5" thickBot="1" x14ac:dyDescent="0.3">
      <c r="A44" s="541" t="s">
        <v>12</v>
      </c>
      <c r="B44" s="542" t="s">
        <v>142</v>
      </c>
      <c r="C44" s="521" t="s">
        <v>174</v>
      </c>
      <c r="D44" s="522"/>
      <c r="E44" s="29"/>
      <c r="F44" s="367" t="s">
        <v>398</v>
      </c>
      <c r="G44" s="29"/>
    </row>
    <row r="45" spans="1:7" s="13" customFormat="1" ht="13.5" thickBot="1" x14ac:dyDescent="0.3">
      <c r="A45" s="541"/>
      <c r="B45" s="542"/>
      <c r="C45" s="527" t="s">
        <v>175</v>
      </c>
      <c r="D45" s="528"/>
      <c r="E45" s="29"/>
      <c r="F45" s="334">
        <v>5675</v>
      </c>
      <c r="G45" s="29"/>
    </row>
    <row r="46" spans="1:7" s="13" customFormat="1" ht="13.5" thickBot="1" x14ac:dyDescent="0.3">
      <c r="A46" s="541"/>
      <c r="B46" s="542"/>
      <c r="C46" s="527" t="s">
        <v>176</v>
      </c>
      <c r="D46" s="528"/>
      <c r="E46" s="29"/>
      <c r="F46" s="419" t="s">
        <v>398</v>
      </c>
      <c r="G46" s="29"/>
    </row>
    <row r="47" spans="1:7" s="13" customFormat="1" ht="13.5" thickBot="1" x14ac:dyDescent="0.3">
      <c r="A47" s="541"/>
      <c r="B47" s="542"/>
      <c r="C47" s="527" t="s">
        <v>177</v>
      </c>
      <c r="D47" s="528"/>
      <c r="E47" s="29"/>
      <c r="F47" s="334">
        <v>5355</v>
      </c>
      <c r="G47" s="29"/>
    </row>
    <row r="48" spans="1:7" s="13" customFormat="1" ht="13.5" thickBot="1" x14ac:dyDescent="0.3">
      <c r="A48" s="541"/>
      <c r="B48" s="542"/>
      <c r="C48" s="527" t="s">
        <v>112</v>
      </c>
      <c r="D48" s="528"/>
      <c r="E48" s="29"/>
      <c r="F48" s="334" t="s">
        <v>465</v>
      </c>
      <c r="G48" s="29"/>
    </row>
    <row r="49" spans="1:7" s="13" customFormat="1" ht="13.5" thickBot="1" x14ac:dyDescent="0.3">
      <c r="A49" s="541"/>
      <c r="B49" s="542"/>
      <c r="C49" s="527" t="s">
        <v>113</v>
      </c>
      <c r="D49" s="528"/>
      <c r="E49" s="29"/>
      <c r="F49" s="334" t="s">
        <v>466</v>
      </c>
      <c r="G49" s="29"/>
    </row>
    <row r="50" spans="1:7" s="13" customFormat="1" ht="13.5" thickBot="1" x14ac:dyDescent="0.3">
      <c r="A50" s="541"/>
      <c r="B50" s="542"/>
      <c r="C50" s="529" t="s">
        <v>114</v>
      </c>
      <c r="D50" s="530"/>
      <c r="E50" s="29"/>
      <c r="F50" s="334" t="s">
        <v>465</v>
      </c>
      <c r="G50" s="29"/>
    </row>
    <row r="51" spans="1:7" s="13" customFormat="1" ht="13.5" thickBot="1" x14ac:dyDescent="0.3">
      <c r="A51" s="541"/>
      <c r="B51" s="542"/>
      <c r="C51" s="515" t="s">
        <v>115</v>
      </c>
      <c r="D51" s="516"/>
      <c r="E51" s="29"/>
      <c r="F51" s="343" t="s">
        <v>466</v>
      </c>
      <c r="G51" s="29"/>
    </row>
    <row r="52" spans="1:7" s="13" customFormat="1" x14ac:dyDescent="0.25">
      <c r="A52" s="517" t="s">
        <v>10</v>
      </c>
      <c r="B52" s="519" t="s">
        <v>217</v>
      </c>
      <c r="C52" s="521" t="s">
        <v>116</v>
      </c>
      <c r="D52" s="522"/>
      <c r="E52" s="29"/>
      <c r="F52" s="367">
        <v>5</v>
      </c>
      <c r="G52" s="29"/>
    </row>
    <row r="53" spans="1:7" s="13" customFormat="1" x14ac:dyDescent="0.25">
      <c r="A53" s="525"/>
      <c r="B53" s="526"/>
      <c r="C53" s="527" t="s">
        <v>117</v>
      </c>
      <c r="D53" s="528"/>
      <c r="E53" s="29"/>
      <c r="F53" s="334" t="s">
        <v>341</v>
      </c>
      <c r="G53" s="29"/>
    </row>
    <row r="54" spans="1:7" s="13" customFormat="1" ht="26.25" thickBot="1" x14ac:dyDescent="0.3">
      <c r="A54" s="525"/>
      <c r="B54" s="526"/>
      <c r="C54" s="523" t="s">
        <v>71</v>
      </c>
      <c r="D54" s="524"/>
      <c r="E54" s="29"/>
      <c r="F54" s="329" t="s">
        <v>467</v>
      </c>
      <c r="G54" s="29"/>
    </row>
    <row r="55" spans="1:7" s="13" customFormat="1" ht="78" customHeight="1" thickBot="1" x14ac:dyDescent="0.3">
      <c r="A55" s="48" t="s">
        <v>9</v>
      </c>
      <c r="B55" s="23" t="s">
        <v>254</v>
      </c>
      <c r="C55" s="529"/>
      <c r="D55" s="530"/>
      <c r="E55" s="29"/>
      <c r="F55" s="367"/>
      <c r="G55" s="29"/>
    </row>
    <row r="56" spans="1:7" s="13" customFormat="1" ht="29.45" customHeight="1" thickBot="1" x14ac:dyDescent="0.3">
      <c r="A56" s="48" t="s">
        <v>253</v>
      </c>
      <c r="B56" s="23" t="s">
        <v>252</v>
      </c>
      <c r="C56" s="531"/>
      <c r="D56" s="532"/>
      <c r="E56" s="30"/>
      <c r="F56" s="384"/>
      <c r="G56" s="30"/>
    </row>
    <row r="57" spans="1:7" s="13" customFormat="1" ht="25.5" x14ac:dyDescent="0.25">
      <c r="A57" s="517" t="s">
        <v>25</v>
      </c>
      <c r="B57" s="519" t="s">
        <v>93</v>
      </c>
      <c r="C57" s="521" t="s">
        <v>72</v>
      </c>
      <c r="D57" s="522"/>
      <c r="E57" s="29"/>
      <c r="F57" s="367" t="s">
        <v>468</v>
      </c>
      <c r="G57" s="29"/>
    </row>
    <row r="58" spans="1:7" s="13" customFormat="1" ht="59.1" customHeight="1" thickBot="1" x14ac:dyDescent="0.3">
      <c r="A58" s="518"/>
      <c r="B58" s="520"/>
      <c r="C58" s="515" t="s">
        <v>73</v>
      </c>
      <c r="D58" s="516"/>
      <c r="E58" s="29"/>
      <c r="F58" s="343">
        <v>185</v>
      </c>
      <c r="G58" s="29"/>
    </row>
    <row r="59" spans="1:7" s="13" customFormat="1" x14ac:dyDescent="0.25">
      <c r="A59" s="517" t="s">
        <v>26</v>
      </c>
      <c r="B59" s="519" t="s">
        <v>251</v>
      </c>
      <c r="C59" s="521" t="s">
        <v>74</v>
      </c>
      <c r="D59" s="522"/>
      <c r="E59" s="29"/>
      <c r="F59" s="367" t="s">
        <v>469</v>
      </c>
      <c r="G59" s="29"/>
    </row>
    <row r="60" spans="1:7" s="13" customFormat="1" x14ac:dyDescent="0.25">
      <c r="A60" s="525"/>
      <c r="B60" s="526"/>
      <c r="C60" s="527" t="s">
        <v>75</v>
      </c>
      <c r="D60" s="528"/>
      <c r="E60" s="29"/>
      <c r="F60" s="334">
        <v>3</v>
      </c>
      <c r="G60" s="29"/>
    </row>
    <row r="61" spans="1:7" s="13" customFormat="1" ht="32.25" customHeight="1" thickBot="1" x14ac:dyDescent="0.3">
      <c r="A61" s="518"/>
      <c r="B61" s="520"/>
      <c r="C61" s="515" t="s">
        <v>250</v>
      </c>
      <c r="D61" s="516"/>
      <c r="E61" s="29"/>
      <c r="F61" s="343" t="s">
        <v>470</v>
      </c>
      <c r="G61" s="29"/>
    </row>
    <row r="62" spans="1:7" s="13" customFormat="1" ht="15.95" customHeight="1" thickBot="1" x14ac:dyDescent="0.3">
      <c r="A62" s="47" t="s">
        <v>44</v>
      </c>
      <c r="B62" s="25" t="s">
        <v>45</v>
      </c>
      <c r="C62" s="531"/>
      <c r="D62" s="532"/>
      <c r="E62" s="30"/>
      <c r="F62" s="384"/>
      <c r="G62" s="30"/>
    </row>
    <row r="63" spans="1:7" s="13" customFormat="1" ht="28.5" customHeight="1" thickBot="1" x14ac:dyDescent="0.3">
      <c r="A63" s="47" t="s">
        <v>44</v>
      </c>
      <c r="B63" s="25" t="s">
        <v>63</v>
      </c>
      <c r="C63" s="531"/>
      <c r="D63" s="532"/>
      <c r="E63" s="30"/>
      <c r="F63" s="384"/>
      <c r="G63" s="30"/>
    </row>
    <row r="64" spans="1:7" s="13" customFormat="1" ht="27.95" customHeight="1" thickBot="1" x14ac:dyDescent="0.3">
      <c r="A64" s="47" t="s">
        <v>44</v>
      </c>
      <c r="B64" s="25" t="s">
        <v>64</v>
      </c>
      <c r="C64" s="531"/>
      <c r="D64" s="532"/>
      <c r="E64" s="30"/>
      <c r="F64" s="384"/>
      <c r="G64" s="30"/>
    </row>
    <row r="65" spans="1:7" s="13" customFormat="1" ht="30" customHeight="1" thickBot="1" x14ac:dyDescent="0.3">
      <c r="A65" s="47" t="s">
        <v>50</v>
      </c>
      <c r="B65" s="25" t="s">
        <v>216</v>
      </c>
      <c r="C65" s="531"/>
      <c r="D65" s="532"/>
      <c r="E65" s="30"/>
      <c r="F65" s="384"/>
      <c r="G65" s="30"/>
    </row>
    <row r="66" spans="1:7" s="13" customFormat="1" ht="15.95" customHeight="1" thickBot="1" x14ac:dyDescent="0.3">
      <c r="A66" s="47" t="s">
        <v>27</v>
      </c>
      <c r="B66" s="25" t="s">
        <v>215</v>
      </c>
      <c r="C66" s="543" t="s">
        <v>77</v>
      </c>
      <c r="D66" s="544"/>
      <c r="E66" s="29"/>
      <c r="F66" s="373" t="s">
        <v>406</v>
      </c>
      <c r="G66" s="29"/>
    </row>
    <row r="67" spans="1:7" s="13" customFormat="1" ht="53.1" customHeight="1" thickBot="1" x14ac:dyDescent="0.3">
      <c r="A67" s="47" t="s">
        <v>214</v>
      </c>
      <c r="B67" s="25" t="s">
        <v>213</v>
      </c>
      <c r="C67" s="543"/>
      <c r="D67" s="544"/>
      <c r="E67" s="29"/>
      <c r="F67" s="373"/>
      <c r="G67" s="29"/>
    </row>
    <row r="68" spans="1:7" s="13" customFormat="1" ht="15" customHeight="1" x14ac:dyDescent="0.25">
      <c r="A68" s="517" t="s">
        <v>28</v>
      </c>
      <c r="B68" s="519" t="s">
        <v>264</v>
      </c>
      <c r="C68" s="749" t="s">
        <v>248</v>
      </c>
      <c r="D68" s="522"/>
      <c r="E68" s="29"/>
      <c r="F68" s="367">
        <v>60</v>
      </c>
      <c r="G68" s="29"/>
    </row>
    <row r="69" spans="1:7" s="13" customFormat="1" ht="29.25" customHeight="1" thickBot="1" x14ac:dyDescent="0.3">
      <c r="A69" s="518"/>
      <c r="B69" s="520"/>
      <c r="C69" s="584" t="s">
        <v>247</v>
      </c>
      <c r="D69" s="516"/>
      <c r="E69" s="29"/>
      <c r="F69" s="343" t="s">
        <v>428</v>
      </c>
      <c r="G69" s="29"/>
    </row>
    <row r="70" spans="1:7" s="13" customFormat="1" ht="40.5" customHeight="1" thickBot="1" x14ac:dyDescent="0.3">
      <c r="A70" s="47" t="s">
        <v>51</v>
      </c>
      <c r="B70" s="25" t="s">
        <v>212</v>
      </c>
      <c r="C70" s="531"/>
      <c r="D70" s="532"/>
      <c r="E70" s="30"/>
      <c r="F70" s="373"/>
      <c r="G70" s="30"/>
    </row>
    <row r="71" spans="1:7" s="13" customFormat="1" ht="39" thickBot="1" x14ac:dyDescent="0.3">
      <c r="A71" s="47" t="s">
        <v>54</v>
      </c>
      <c r="B71" s="25" t="s">
        <v>80</v>
      </c>
      <c r="C71" s="531"/>
      <c r="D71" s="532"/>
      <c r="E71" s="30"/>
      <c r="F71" s="373"/>
      <c r="G71" s="30"/>
    </row>
    <row r="72" spans="1:7" s="13" customFormat="1" ht="79.5" customHeight="1" thickBot="1" x14ac:dyDescent="0.3">
      <c r="A72" s="47" t="s">
        <v>29</v>
      </c>
      <c r="B72" s="25" t="s">
        <v>211</v>
      </c>
      <c r="C72" s="531"/>
      <c r="D72" s="532"/>
      <c r="E72" s="30"/>
      <c r="F72" s="373"/>
      <c r="G72" s="30"/>
    </row>
    <row r="73" spans="1:7" s="13" customFormat="1" ht="51.95" customHeight="1" thickBot="1" x14ac:dyDescent="0.3">
      <c r="A73" s="47" t="s">
        <v>31</v>
      </c>
      <c r="B73" s="25" t="s">
        <v>210</v>
      </c>
      <c r="C73" s="543" t="s">
        <v>30</v>
      </c>
      <c r="D73" s="544"/>
      <c r="E73" s="29"/>
      <c r="F73" s="373" t="s">
        <v>408</v>
      </c>
      <c r="G73" s="29"/>
    </row>
    <row r="74" spans="1:7" s="13" customFormat="1" ht="30" customHeight="1" thickBot="1" x14ac:dyDescent="0.3">
      <c r="A74" s="47" t="s">
        <v>55</v>
      </c>
      <c r="B74" s="25" t="s">
        <v>95</v>
      </c>
      <c r="C74" s="531"/>
      <c r="D74" s="532"/>
      <c r="E74" s="30"/>
      <c r="F74" s="373"/>
      <c r="G74" s="30"/>
    </row>
    <row r="75" spans="1:7" s="13" customFormat="1" ht="29.45" customHeight="1" thickBot="1" x14ac:dyDescent="0.3">
      <c r="A75" s="47" t="s">
        <v>32</v>
      </c>
      <c r="B75" s="25" t="s">
        <v>96</v>
      </c>
      <c r="C75" s="543" t="s">
        <v>30</v>
      </c>
      <c r="D75" s="544"/>
      <c r="E75" s="29"/>
      <c r="F75" s="373" t="s">
        <v>471</v>
      </c>
      <c r="G75" s="29"/>
    </row>
    <row r="76" spans="1:7" s="13" customFormat="1" ht="41.1" customHeight="1" thickBot="1" x14ac:dyDescent="0.3">
      <c r="A76" s="47" t="s">
        <v>56</v>
      </c>
      <c r="B76" s="25" t="s">
        <v>167</v>
      </c>
      <c r="C76" s="531"/>
      <c r="D76" s="532"/>
      <c r="E76" s="30"/>
      <c r="F76" s="373"/>
      <c r="G76" s="30"/>
    </row>
    <row r="77" spans="1:7" s="13" customFormat="1" ht="27" customHeight="1" thickBot="1" x14ac:dyDescent="0.3">
      <c r="A77" s="47" t="s">
        <v>48</v>
      </c>
      <c r="B77" s="25" t="s">
        <v>47</v>
      </c>
      <c r="C77" s="531"/>
      <c r="D77" s="532"/>
      <c r="E77" s="30"/>
      <c r="F77" s="373"/>
      <c r="G77" s="30"/>
    </row>
    <row r="78" spans="1:7" s="13" customFormat="1" ht="29.1" customHeight="1" thickBot="1" x14ac:dyDescent="0.3">
      <c r="A78" s="47" t="s">
        <v>49</v>
      </c>
      <c r="B78" s="25" t="s">
        <v>103</v>
      </c>
      <c r="C78" s="531"/>
      <c r="D78" s="532"/>
      <c r="E78" s="30"/>
      <c r="F78" s="373"/>
      <c r="G78" s="30"/>
    </row>
    <row r="79" spans="1:7" s="13" customFormat="1" ht="26.25" thickBot="1" x14ac:dyDescent="0.3">
      <c r="A79" s="47" t="s">
        <v>46</v>
      </c>
      <c r="B79" s="25" t="s">
        <v>81</v>
      </c>
      <c r="C79" s="531"/>
      <c r="D79" s="532"/>
      <c r="E79" s="30"/>
      <c r="F79" s="373"/>
      <c r="G79" s="30"/>
    </row>
    <row r="80" spans="1:7" ht="13.5" thickBot="1" x14ac:dyDescent="0.25"/>
    <row r="81" spans="1:6" s="16" customFormat="1" ht="18" customHeight="1" thickBot="1" x14ac:dyDescent="0.3">
      <c r="A81" s="536" t="s">
        <v>168</v>
      </c>
      <c r="B81" s="537"/>
      <c r="C81" s="537"/>
      <c r="D81" s="538"/>
      <c r="E81" s="33"/>
      <c r="F81" s="473" t="s">
        <v>334</v>
      </c>
    </row>
    <row r="82" spans="1:6" s="3" customFormat="1" ht="15" customHeight="1" thickBot="1" x14ac:dyDescent="0.3">
      <c r="A82" s="545" t="s">
        <v>169</v>
      </c>
      <c r="B82" s="546"/>
      <c r="C82" s="546"/>
      <c r="D82" s="547"/>
      <c r="E82" s="34"/>
      <c r="F82" s="415" t="s">
        <v>19</v>
      </c>
    </row>
    <row r="83" spans="1:6" s="13" customFormat="1" x14ac:dyDescent="0.25">
      <c r="A83" s="548" t="s">
        <v>83</v>
      </c>
      <c r="B83" s="549"/>
      <c r="C83" s="549"/>
      <c r="D83" s="550"/>
      <c r="E83" s="30"/>
      <c r="F83" s="420">
        <f>-1010*('PPI Adj'!D6)</f>
        <v>-1178.67</v>
      </c>
    </row>
    <row r="84" spans="1:6" s="13" customFormat="1" x14ac:dyDescent="0.25">
      <c r="A84" s="551" t="s">
        <v>34</v>
      </c>
      <c r="B84" s="552"/>
      <c r="C84" s="552"/>
      <c r="D84" s="553"/>
      <c r="E84" s="29"/>
      <c r="F84" s="421">
        <f>678*('PPI Adj'!D6)</f>
        <v>791.226</v>
      </c>
    </row>
    <row r="85" spans="1:6" s="13" customFormat="1" x14ac:dyDescent="0.25">
      <c r="A85" s="551" t="s">
        <v>35</v>
      </c>
      <c r="B85" s="552"/>
      <c r="C85" s="552"/>
      <c r="D85" s="553"/>
      <c r="E85" s="30"/>
      <c r="F85" s="421">
        <f>376*('PPI Adj'!D6)</f>
        <v>438.79200000000003</v>
      </c>
    </row>
    <row r="86" spans="1:6" s="13" customFormat="1" x14ac:dyDescent="0.25">
      <c r="A86" s="551" t="s">
        <v>36</v>
      </c>
      <c r="B86" s="552"/>
      <c r="C86" s="552"/>
      <c r="D86" s="553"/>
      <c r="E86" s="29"/>
      <c r="F86" s="421">
        <f>738*('PPI Adj'!D6)</f>
        <v>861.24599999999998</v>
      </c>
    </row>
    <row r="87" spans="1:6" s="13" customFormat="1" x14ac:dyDescent="0.25">
      <c r="A87" s="551" t="s">
        <v>60</v>
      </c>
      <c r="B87" s="552"/>
      <c r="C87" s="552"/>
      <c r="D87" s="553"/>
      <c r="E87" s="29"/>
      <c r="F87" s="421">
        <f>95*('PPI Adj'!D6)</f>
        <v>110.86500000000001</v>
      </c>
    </row>
    <row r="88" spans="1:6" s="13" customFormat="1" x14ac:dyDescent="0.25">
      <c r="A88" s="551" t="s">
        <v>61</v>
      </c>
      <c r="B88" s="552"/>
      <c r="C88" s="552"/>
      <c r="D88" s="553"/>
      <c r="E88" s="29"/>
      <c r="F88" s="421">
        <f>386*('PPI Adj'!D6)</f>
        <v>450.46199999999999</v>
      </c>
    </row>
    <row r="89" spans="1:6" s="13" customFormat="1" x14ac:dyDescent="0.25">
      <c r="A89" s="551" t="s">
        <v>86</v>
      </c>
      <c r="B89" s="552"/>
      <c r="C89" s="552"/>
      <c r="D89" s="553"/>
      <c r="E89" s="29"/>
      <c r="F89" s="421">
        <f>856*('PPI Adj'!D6)</f>
        <v>998.952</v>
      </c>
    </row>
    <row r="90" spans="1:6" x14ac:dyDescent="0.2">
      <c r="A90" s="551" t="s">
        <v>85</v>
      </c>
      <c r="B90" s="552"/>
      <c r="C90" s="552"/>
      <c r="D90" s="553"/>
      <c r="E90" s="29"/>
      <c r="F90" s="421">
        <f>7550.4*('PPI Adj'!D6)</f>
        <v>8811.3168000000005</v>
      </c>
    </row>
    <row r="91" spans="1:6" x14ac:dyDescent="0.2">
      <c r="A91" s="551" t="s">
        <v>13</v>
      </c>
      <c r="B91" s="552"/>
      <c r="C91" s="552"/>
      <c r="D91" s="553"/>
      <c r="E91" s="29"/>
      <c r="F91" s="421">
        <f>10801*('PPI Adj'!D6)</f>
        <v>12604.767</v>
      </c>
    </row>
    <row r="92" spans="1:6" x14ac:dyDescent="0.2">
      <c r="A92" s="551" t="s">
        <v>37</v>
      </c>
      <c r="B92" s="552"/>
      <c r="C92" s="552"/>
      <c r="D92" s="553"/>
      <c r="E92" s="30"/>
      <c r="F92" s="421">
        <f>1000*('PPI Adj'!D6)</f>
        <v>1167</v>
      </c>
    </row>
    <row r="93" spans="1:6" x14ac:dyDescent="0.2">
      <c r="A93" s="551" t="s">
        <v>38</v>
      </c>
      <c r="B93" s="552"/>
      <c r="C93" s="552"/>
      <c r="D93" s="553"/>
      <c r="E93" s="30"/>
      <c r="F93" s="421">
        <f>787*('PPI Adj'!D6)</f>
        <v>918.42899999999997</v>
      </c>
    </row>
    <row r="94" spans="1:6" x14ac:dyDescent="0.2">
      <c r="A94" s="551" t="s">
        <v>201</v>
      </c>
      <c r="B94" s="552"/>
      <c r="C94" s="552"/>
      <c r="D94" s="553"/>
      <c r="E94" s="30"/>
      <c r="F94" s="421" t="s">
        <v>183</v>
      </c>
    </row>
    <row r="95" spans="1:6" x14ac:dyDescent="0.2">
      <c r="A95" s="551" t="s">
        <v>39</v>
      </c>
      <c r="B95" s="552"/>
      <c r="C95" s="552"/>
      <c r="D95" s="553"/>
      <c r="E95" s="29"/>
      <c r="F95" s="421">
        <f>678*('PPI Adj'!D6)</f>
        <v>791.226</v>
      </c>
    </row>
    <row r="96" spans="1:6" x14ac:dyDescent="0.2">
      <c r="A96" s="551" t="s">
        <v>88</v>
      </c>
      <c r="B96" s="552"/>
      <c r="C96" s="552"/>
      <c r="D96" s="553"/>
      <c r="E96" s="29"/>
      <c r="F96" s="421">
        <f>4245*('PPI Adj'!D6)</f>
        <v>4953.915</v>
      </c>
    </row>
    <row r="97" spans="1:6" x14ac:dyDescent="0.2">
      <c r="A97" s="551" t="s">
        <v>40</v>
      </c>
      <c r="B97" s="552"/>
      <c r="C97" s="552"/>
      <c r="D97" s="553"/>
      <c r="E97" s="29"/>
      <c r="F97" s="421">
        <f>225*('PPI Adj'!D6)</f>
        <v>262.57499999999999</v>
      </c>
    </row>
    <row r="98" spans="1:6" x14ac:dyDescent="0.2">
      <c r="A98" s="551" t="s">
        <v>14</v>
      </c>
      <c r="B98" s="552"/>
      <c r="C98" s="552"/>
      <c r="D98" s="553"/>
      <c r="E98" s="29"/>
      <c r="F98" s="421">
        <f>10621.47*('PPI Adj'!D6)</f>
        <v>12395.25549</v>
      </c>
    </row>
    <row r="99" spans="1:6" x14ac:dyDescent="0.2">
      <c r="A99" s="551" t="s">
        <v>91</v>
      </c>
      <c r="B99" s="552"/>
      <c r="C99" s="552"/>
      <c r="D99" s="553"/>
      <c r="E99" s="29"/>
      <c r="F99" s="421">
        <f>1971*('PPI Adj'!D6)</f>
        <v>2300.1570000000002</v>
      </c>
    </row>
    <row r="100" spans="1:6" x14ac:dyDescent="0.2">
      <c r="A100" s="557" t="s">
        <v>272</v>
      </c>
      <c r="B100" s="558"/>
      <c r="C100" s="558"/>
      <c r="D100" s="559"/>
      <c r="E100" s="29"/>
      <c r="F100" s="422">
        <f>-1036*('PPI Adj'!D6)</f>
        <v>-1209.0119999999999</v>
      </c>
    </row>
    <row r="101" spans="1:6" ht="13.5" thickBot="1" x14ac:dyDescent="0.25">
      <c r="A101" s="554" t="s">
        <v>92</v>
      </c>
      <c r="B101" s="555"/>
      <c r="C101" s="555"/>
      <c r="D101" s="556"/>
      <c r="E101" s="30"/>
      <c r="F101" s="423">
        <f>-2023*('PPI Adj'!D6)</f>
        <v>-2360.8409999999999</v>
      </c>
    </row>
    <row r="102" spans="1:6" ht="13.5" thickBot="1" x14ac:dyDescent="0.25"/>
    <row r="103" spans="1:6" s="16" customFormat="1" ht="18" customHeight="1" thickBot="1" x14ac:dyDescent="0.3">
      <c r="A103" s="536" t="s">
        <v>166</v>
      </c>
      <c r="B103" s="537"/>
      <c r="C103" s="537"/>
      <c r="D103" s="538"/>
      <c r="E103" s="33"/>
      <c r="F103" s="473" t="s">
        <v>334</v>
      </c>
    </row>
    <row r="104" spans="1:6" s="3" customFormat="1" ht="15" customHeight="1" thickBot="1" x14ac:dyDescent="0.3">
      <c r="A104" s="49" t="s">
        <v>33</v>
      </c>
      <c r="B104" s="19" t="s">
        <v>7</v>
      </c>
      <c r="C104" s="560" t="s">
        <v>165</v>
      </c>
      <c r="D104" s="561"/>
      <c r="E104" s="34"/>
      <c r="F104" s="415" t="s">
        <v>19</v>
      </c>
    </row>
    <row r="105" spans="1:6" s="13" customFormat="1" ht="40.5" customHeight="1" thickBot="1" x14ac:dyDescent="0.3">
      <c r="A105" s="50" t="s">
        <v>83</v>
      </c>
      <c r="B105" s="18" t="s">
        <v>146</v>
      </c>
      <c r="C105" s="562"/>
      <c r="D105" s="563"/>
      <c r="E105" s="30"/>
      <c r="F105" s="373"/>
    </row>
    <row r="106" spans="1:6" s="13" customFormat="1" ht="26.25" thickBot="1" x14ac:dyDescent="0.3">
      <c r="A106" s="47" t="s">
        <v>34</v>
      </c>
      <c r="B106" s="25" t="s">
        <v>107</v>
      </c>
      <c r="C106" s="543" t="s">
        <v>30</v>
      </c>
      <c r="D106" s="544"/>
      <c r="E106" s="29"/>
      <c r="F106" s="373" t="s">
        <v>349</v>
      </c>
    </row>
    <row r="107" spans="1:6" s="13" customFormat="1" ht="53.45" customHeight="1" thickBot="1" x14ac:dyDescent="0.3">
      <c r="A107" s="47" t="s">
        <v>35</v>
      </c>
      <c r="B107" s="25" t="s">
        <v>97</v>
      </c>
      <c r="C107" s="531"/>
      <c r="D107" s="532"/>
      <c r="E107" s="30"/>
      <c r="F107" s="373"/>
    </row>
    <row r="108" spans="1:6" s="13" customFormat="1" ht="27.95" customHeight="1" thickBot="1" x14ac:dyDescent="0.3">
      <c r="A108" s="47" t="s">
        <v>36</v>
      </c>
      <c r="B108" s="25" t="s">
        <v>84</v>
      </c>
      <c r="C108" s="543" t="s">
        <v>99</v>
      </c>
      <c r="D108" s="544"/>
      <c r="E108" s="29"/>
      <c r="F108" s="373" t="s">
        <v>410</v>
      </c>
    </row>
    <row r="109" spans="1:6" s="13" customFormat="1" ht="12.75" customHeight="1" x14ac:dyDescent="0.25">
      <c r="A109" s="517" t="s">
        <v>60</v>
      </c>
      <c r="B109" s="519" t="s">
        <v>133</v>
      </c>
      <c r="C109" s="521" t="s">
        <v>203</v>
      </c>
      <c r="D109" s="522"/>
      <c r="E109" s="29"/>
      <c r="F109" s="367" t="s">
        <v>398</v>
      </c>
    </row>
    <row r="110" spans="1:6" s="13" customFormat="1" x14ac:dyDescent="0.25">
      <c r="A110" s="525"/>
      <c r="B110" s="526"/>
      <c r="C110" s="527" t="s">
        <v>202</v>
      </c>
      <c r="D110" s="528"/>
      <c r="E110" s="29"/>
      <c r="F110" s="334">
        <v>5355</v>
      </c>
    </row>
    <row r="111" spans="1:6" s="13" customFormat="1" x14ac:dyDescent="0.25">
      <c r="A111" s="525"/>
      <c r="B111" s="526"/>
      <c r="C111" s="527" t="s">
        <v>114</v>
      </c>
      <c r="D111" s="528"/>
      <c r="E111" s="29"/>
      <c r="F111" s="334" t="s">
        <v>472</v>
      </c>
    </row>
    <row r="112" spans="1:6" s="13" customFormat="1" ht="30.75" customHeight="1" thickBot="1" x14ac:dyDescent="0.3">
      <c r="A112" s="518"/>
      <c r="B112" s="520"/>
      <c r="C112" s="515" t="s">
        <v>115</v>
      </c>
      <c r="D112" s="516"/>
      <c r="E112" s="29"/>
      <c r="F112" s="343" t="s">
        <v>473</v>
      </c>
    </row>
    <row r="113" spans="1:6" s="13" customFormat="1" ht="12.75" customHeight="1" x14ac:dyDescent="0.25">
      <c r="A113" s="517" t="s">
        <v>61</v>
      </c>
      <c r="B113" s="519" t="s">
        <v>206</v>
      </c>
      <c r="C113" s="521" t="s">
        <v>205</v>
      </c>
      <c r="D113" s="522"/>
      <c r="E113" s="29"/>
      <c r="F113" s="367" t="s">
        <v>474</v>
      </c>
    </row>
    <row r="114" spans="1:6" s="13" customFormat="1" x14ac:dyDescent="0.25">
      <c r="A114" s="525"/>
      <c r="B114" s="526"/>
      <c r="C114" s="527" t="s">
        <v>204</v>
      </c>
      <c r="D114" s="528"/>
      <c r="E114" s="29"/>
      <c r="F114" s="419">
        <v>5675</v>
      </c>
    </row>
    <row r="115" spans="1:6" s="13" customFormat="1" x14ac:dyDescent="0.25">
      <c r="A115" s="525"/>
      <c r="B115" s="526"/>
      <c r="C115" s="527" t="s">
        <v>203</v>
      </c>
      <c r="D115" s="528"/>
      <c r="E115" s="29"/>
      <c r="F115" s="419" t="s">
        <v>474</v>
      </c>
    </row>
    <row r="116" spans="1:6" s="13" customFormat="1" x14ac:dyDescent="0.25">
      <c r="A116" s="525"/>
      <c r="B116" s="526"/>
      <c r="C116" s="527" t="s">
        <v>202</v>
      </c>
      <c r="D116" s="528"/>
      <c r="E116" s="29"/>
      <c r="F116" s="334">
        <v>5355</v>
      </c>
    </row>
    <row r="117" spans="1:6" s="13" customFormat="1" x14ac:dyDescent="0.25">
      <c r="A117" s="525"/>
      <c r="B117" s="526"/>
      <c r="C117" s="527" t="s">
        <v>112</v>
      </c>
      <c r="D117" s="528"/>
      <c r="E117" s="29"/>
      <c r="F117" s="334" t="s">
        <v>475</v>
      </c>
    </row>
    <row r="118" spans="1:6" s="13" customFormat="1" x14ac:dyDescent="0.25">
      <c r="A118" s="525"/>
      <c r="B118" s="526"/>
      <c r="C118" s="527" t="s">
        <v>113</v>
      </c>
      <c r="D118" s="528"/>
      <c r="E118" s="29"/>
      <c r="F118" s="419" t="s">
        <v>415</v>
      </c>
    </row>
    <row r="119" spans="1:6" s="13" customFormat="1" x14ac:dyDescent="0.25">
      <c r="A119" s="525"/>
      <c r="B119" s="526"/>
      <c r="C119" s="527" t="s">
        <v>114</v>
      </c>
      <c r="D119" s="528"/>
      <c r="E119" s="29"/>
      <c r="F119" s="419" t="s">
        <v>475</v>
      </c>
    </row>
    <row r="120" spans="1:6" s="13" customFormat="1" ht="13.5" thickBot="1" x14ac:dyDescent="0.3">
      <c r="A120" s="518"/>
      <c r="B120" s="520"/>
      <c r="C120" s="515" t="s">
        <v>115</v>
      </c>
      <c r="D120" s="516"/>
      <c r="E120" s="29"/>
      <c r="F120" s="343" t="s">
        <v>415</v>
      </c>
    </row>
    <row r="121" spans="1:6" s="13" customFormat="1" ht="146.44999999999999" customHeight="1" thickBot="1" x14ac:dyDescent="0.3">
      <c r="A121" s="51" t="s">
        <v>86</v>
      </c>
      <c r="B121" s="17" t="s">
        <v>143</v>
      </c>
      <c r="C121" s="543" t="s">
        <v>104</v>
      </c>
      <c r="D121" s="544"/>
      <c r="E121" s="29"/>
      <c r="F121" s="367" t="s">
        <v>476</v>
      </c>
    </row>
    <row r="122" spans="1:6" ht="168.6" customHeight="1" thickBot="1" x14ac:dyDescent="0.25">
      <c r="A122" s="47" t="s">
        <v>85</v>
      </c>
      <c r="B122" s="14" t="s">
        <v>170</v>
      </c>
      <c r="C122" s="543" t="s">
        <v>104</v>
      </c>
      <c r="D122" s="544"/>
      <c r="E122" s="29"/>
      <c r="F122" s="373" t="s">
        <v>477</v>
      </c>
    </row>
    <row r="123" spans="1:6" x14ac:dyDescent="0.2">
      <c r="A123" s="517" t="s">
        <v>13</v>
      </c>
      <c r="B123" s="519" t="s">
        <v>98</v>
      </c>
      <c r="C123" s="521" t="s">
        <v>30</v>
      </c>
      <c r="D123" s="522"/>
      <c r="E123" s="29"/>
      <c r="F123" s="367" t="s">
        <v>358</v>
      </c>
    </row>
    <row r="124" spans="1:6" ht="29.45" customHeight="1" thickBot="1" x14ac:dyDescent="0.25">
      <c r="A124" s="518"/>
      <c r="B124" s="520"/>
      <c r="C124" s="515" t="s">
        <v>109</v>
      </c>
      <c r="D124" s="516"/>
      <c r="E124" s="29"/>
      <c r="F124" s="343" t="s">
        <v>359</v>
      </c>
    </row>
    <row r="125" spans="1:6" ht="65.45" customHeight="1" thickBot="1" x14ac:dyDescent="0.25">
      <c r="A125" s="47" t="s">
        <v>37</v>
      </c>
      <c r="B125" s="25" t="s">
        <v>135</v>
      </c>
      <c r="C125" s="531"/>
      <c r="D125" s="532"/>
      <c r="E125" s="30"/>
      <c r="F125" s="373" t="s">
        <v>375</v>
      </c>
    </row>
    <row r="126" spans="1:6" ht="41.1" customHeight="1" thickBot="1" x14ac:dyDescent="0.25">
      <c r="A126" s="47" t="s">
        <v>38</v>
      </c>
      <c r="B126" s="25" t="s">
        <v>87</v>
      </c>
      <c r="C126" s="531"/>
      <c r="D126" s="532"/>
      <c r="E126" s="30"/>
      <c r="F126" s="373"/>
    </row>
    <row r="127" spans="1:6" ht="17.100000000000001" customHeight="1" thickBot="1" x14ac:dyDescent="0.25">
      <c r="A127" s="47" t="s">
        <v>201</v>
      </c>
      <c r="B127" s="25" t="s">
        <v>200</v>
      </c>
      <c r="C127" s="543"/>
      <c r="D127" s="544"/>
      <c r="E127" s="29"/>
      <c r="F127" s="373"/>
    </row>
    <row r="128" spans="1:6" ht="29.45" customHeight="1" thickBot="1" x14ac:dyDescent="0.25">
      <c r="A128" s="47" t="s">
        <v>39</v>
      </c>
      <c r="B128" s="25" t="s">
        <v>106</v>
      </c>
      <c r="C128" s="543" t="s">
        <v>105</v>
      </c>
      <c r="D128" s="544"/>
      <c r="E128" s="29"/>
      <c r="F128" s="373" t="s">
        <v>323</v>
      </c>
    </row>
    <row r="129" spans="1:6" x14ac:dyDescent="0.2">
      <c r="A129" s="517" t="s">
        <v>88</v>
      </c>
      <c r="B129" s="519" t="s">
        <v>148</v>
      </c>
      <c r="C129" s="521" t="s">
        <v>100</v>
      </c>
      <c r="D129" s="522"/>
      <c r="E129" s="29"/>
      <c r="F129" s="367" t="s">
        <v>420</v>
      </c>
    </row>
    <row r="130" spans="1:6" ht="108" customHeight="1" thickBot="1" x14ac:dyDescent="0.25">
      <c r="A130" s="518"/>
      <c r="B130" s="520"/>
      <c r="C130" s="515" t="s">
        <v>110</v>
      </c>
      <c r="D130" s="516"/>
      <c r="E130" s="29"/>
      <c r="F130" s="424" t="s">
        <v>435</v>
      </c>
    </row>
    <row r="131" spans="1:6" ht="26.25" thickBot="1" x14ac:dyDescent="0.25">
      <c r="A131" s="47" t="s">
        <v>40</v>
      </c>
      <c r="B131" s="25" t="s">
        <v>137</v>
      </c>
      <c r="C131" s="543" t="s">
        <v>100</v>
      </c>
      <c r="D131" s="544"/>
      <c r="E131" s="29"/>
      <c r="F131" s="343" t="s">
        <v>360</v>
      </c>
    </row>
    <row r="132" spans="1:6" ht="56.1" customHeight="1" thickBot="1" x14ac:dyDescent="0.25">
      <c r="A132" s="47" t="s">
        <v>14</v>
      </c>
      <c r="B132" s="25" t="s">
        <v>138</v>
      </c>
      <c r="C132" s="543" t="s">
        <v>139</v>
      </c>
      <c r="D132" s="544"/>
      <c r="E132" s="29"/>
      <c r="F132" s="373">
        <v>2</v>
      </c>
    </row>
    <row r="133" spans="1:6" ht="66" customHeight="1" thickBot="1" x14ac:dyDescent="0.25">
      <c r="A133" s="47" t="s">
        <v>91</v>
      </c>
      <c r="B133" s="25" t="s">
        <v>144</v>
      </c>
      <c r="C133" s="543" t="s">
        <v>100</v>
      </c>
      <c r="D133" s="544"/>
      <c r="E133" s="29"/>
      <c r="F133" s="373" t="s">
        <v>361</v>
      </c>
    </row>
    <row r="134" spans="1:6" ht="70.5" customHeight="1" thickBot="1" x14ac:dyDescent="0.25">
      <c r="A134" s="47" t="s">
        <v>92</v>
      </c>
      <c r="B134" s="25" t="s">
        <v>145</v>
      </c>
      <c r="C134" s="531"/>
      <c r="D134" s="532"/>
      <c r="E134" s="30"/>
      <c r="F134" s="373"/>
    </row>
  </sheetData>
  <sheetProtection algorithmName="SHA-512" hashValue="3aZbrPqkjXx2zqpryhhVbRi8cHXs3jM0+whU0aORHPvdb08RxWGW4mJ6OPZ1rGq2GW1sb9TpNLEr1Byx7zF3uA==" saltValue="/o5aUSZYtsJpwzlR2AgMNw=="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39" priority="42">
      <formula>#REF!="NO"</formula>
    </cfRule>
  </conditionalFormatting>
  <conditionalFormatting sqref="C40:D42">
    <cfRule type="expression" dxfId="38" priority="12">
      <formula>$F$2="NO"</formula>
    </cfRule>
  </conditionalFormatting>
  <conditionalFormatting sqref="C26:E39">
    <cfRule type="expression" dxfId="37" priority="43">
      <formula>#REF!="NO"</formula>
    </cfRule>
  </conditionalFormatting>
  <conditionalFormatting sqref="C43:E79">
    <cfRule type="expression" dxfId="36" priority="11">
      <formula>#REF!="NO"</formula>
    </cfRule>
  </conditionalFormatting>
  <conditionalFormatting sqref="C105:F134">
    <cfRule type="expression" dxfId="35" priority="16">
      <formula>#REF!="NO"</formula>
    </cfRule>
  </conditionalFormatting>
  <conditionalFormatting sqref="E40:E42">
    <cfRule type="expression" dxfId="34" priority="15">
      <formula>#REF!="NO"</formula>
    </cfRule>
  </conditionalFormatting>
  <conditionalFormatting sqref="E83:F101">
    <cfRule type="expression" dxfId="33" priority="1">
      <formula>#REF!="NO"</formula>
    </cfRule>
  </conditionalFormatting>
  <conditionalFormatting sqref="F8:F17">
    <cfRule type="expression" dxfId="32" priority="39">
      <formula>#REF!="NO"</formula>
    </cfRule>
  </conditionalFormatting>
  <conditionalFormatting sqref="F21:F22">
    <cfRule type="expression" dxfId="31" priority="40">
      <formula>#REF!="NO"</formula>
    </cfRule>
  </conditionalFormatting>
  <conditionalFormatting sqref="F26:G79">
    <cfRule type="expression" dxfId="30" priority="9">
      <formula>#REF!="NO"</formula>
    </cfRule>
  </conditionalFormatting>
  <dataValidations count="3">
    <dataValidation type="decimal" operator="greaterThanOrEqual" allowBlank="1" showInputMessage="1" showErrorMessage="1" error="The Pickup Allowance cannot be a negative number." sqref="F16" xr:uid="{00000000-0002-0000-0A00-000002000000}">
      <formula1>0</formula1>
    </dataValidation>
    <dataValidation type="decimal" allowBlank="1" showInputMessage="1" showErrorMessage="1" error="Invalid Entry - Bidder must enter a value that is greater than $0" sqref="F21" xr:uid="{00000000-0002-0000-0A00-000001000000}">
      <formula1>0</formula1>
      <formula2>9E+21</formula2>
    </dataValidation>
    <dataValidation type="decimal" allowBlank="1" showInputMessage="1" showErrorMessage="1" error="The Additional Options NYS Discount entered must be greater than 0%, or less than or equal to 100%." sqref="F22" xr:uid="{00000000-0002-0000-0A00-000000000000}">
      <formula1>0.01</formula1>
      <formula2>100</formula2>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BDA-F98E-4EAD-B218-EEDA56733A0D}">
  <sheetPr>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21"/>
    </row>
    <row r="3" spans="1:7" ht="24" thickBot="1" x14ac:dyDescent="0.25">
      <c r="A3" s="830" t="s">
        <v>317</v>
      </c>
      <c r="B3" s="831"/>
      <c r="C3" s="831"/>
      <c r="D3" s="832"/>
      <c r="E3" s="8"/>
      <c r="F3" s="304"/>
      <c r="G3" s="8"/>
    </row>
    <row r="4" spans="1:7" ht="51" customHeight="1" thickBot="1" x14ac:dyDescent="0.25">
      <c r="A4" s="506" t="s">
        <v>316</v>
      </c>
      <c r="B4" s="507"/>
      <c r="C4" s="507"/>
      <c r="D4" s="508"/>
      <c r="E4" s="8"/>
      <c r="F4" s="304"/>
      <c r="G4" s="8"/>
    </row>
    <row r="5" spans="1:7" s="4" customFormat="1" ht="11.25" customHeight="1" thickBot="1" x14ac:dyDescent="0.3">
      <c r="A5" s="411"/>
      <c r="B5" s="411"/>
      <c r="C5" s="411"/>
      <c r="D5" s="411"/>
      <c r="E5" s="411"/>
      <c r="F5" s="413"/>
    </row>
    <row r="6" spans="1:7" s="7" customFormat="1" ht="16.5" customHeight="1" thickBot="1" x14ac:dyDescent="0.25">
      <c r="A6" s="509" t="s">
        <v>151</v>
      </c>
      <c r="B6" s="510"/>
      <c r="C6" s="510"/>
      <c r="D6" s="511"/>
      <c r="E6" s="31"/>
      <c r="F6" s="473" t="s">
        <v>334</v>
      </c>
      <c r="G6" s="31"/>
    </row>
    <row r="7" spans="1:7" s="4" customFormat="1" ht="15" customHeight="1" thickBot="1" x14ac:dyDescent="0.3">
      <c r="A7" s="37" t="s">
        <v>6</v>
      </c>
      <c r="B7" s="22" t="s">
        <v>165</v>
      </c>
      <c r="C7" s="27"/>
      <c r="D7" s="35"/>
      <c r="E7" s="32"/>
      <c r="F7" s="415" t="s">
        <v>19</v>
      </c>
      <c r="G7" s="32"/>
    </row>
    <row r="8" spans="1:7" ht="65.25" thickTop="1" thickBot="1" x14ac:dyDescent="0.25">
      <c r="A8" s="38" t="s">
        <v>9</v>
      </c>
      <c r="B8" s="500" t="s">
        <v>152</v>
      </c>
      <c r="C8" s="501"/>
      <c r="D8" s="502"/>
      <c r="E8" s="13"/>
      <c r="F8" s="324" t="s">
        <v>480</v>
      </c>
      <c r="G8" s="13"/>
    </row>
    <row r="9" spans="1:7" s="7" customFormat="1" ht="44.25" customHeight="1" thickTop="1" thickBot="1" x14ac:dyDescent="0.25">
      <c r="A9" s="38" t="s">
        <v>136</v>
      </c>
      <c r="B9" s="500" t="s">
        <v>191</v>
      </c>
      <c r="C9" s="501"/>
      <c r="D9" s="502"/>
      <c r="E9" s="13"/>
      <c r="F9" s="324" t="s">
        <v>481</v>
      </c>
      <c r="G9" s="13"/>
    </row>
    <row r="10" spans="1:7" ht="12.75" customHeight="1" thickTop="1" x14ac:dyDescent="0.2">
      <c r="A10" s="39" t="s">
        <v>0</v>
      </c>
      <c r="B10" s="491" t="s">
        <v>154</v>
      </c>
      <c r="C10" s="492"/>
      <c r="D10" s="493"/>
      <c r="E10" s="13"/>
      <c r="F10" s="334" t="s">
        <v>334</v>
      </c>
      <c r="G10" s="13"/>
    </row>
    <row r="11" spans="1:7" x14ac:dyDescent="0.2">
      <c r="A11" s="39" t="s">
        <v>1</v>
      </c>
      <c r="B11" s="491" t="s">
        <v>153</v>
      </c>
      <c r="C11" s="492"/>
      <c r="D11" s="493"/>
      <c r="E11" s="13"/>
      <c r="F11" s="334" t="s">
        <v>461</v>
      </c>
      <c r="G11" s="13"/>
    </row>
    <row r="12" spans="1:7" ht="12.75" customHeight="1" thickBot="1" x14ac:dyDescent="0.25">
      <c r="A12" s="40" t="s">
        <v>2</v>
      </c>
      <c r="B12" s="494" t="s">
        <v>155</v>
      </c>
      <c r="C12" s="495"/>
      <c r="D12" s="496"/>
      <c r="E12" s="13"/>
      <c r="F12" s="336" t="s">
        <v>462</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462</v>
      </c>
      <c r="G14" s="13"/>
    </row>
    <row r="15" spans="1:7" ht="15.75" customHeight="1" thickBot="1" x14ac:dyDescent="0.25">
      <c r="A15" s="41" t="s">
        <v>5</v>
      </c>
      <c r="B15" s="494" t="s">
        <v>158</v>
      </c>
      <c r="C15" s="495"/>
      <c r="D15" s="496"/>
      <c r="E15" s="13"/>
      <c r="F15" s="341" t="s">
        <v>482</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16.5" customHeight="1" thickBot="1" x14ac:dyDescent="0.25">
      <c r="A19" s="509" t="s">
        <v>150</v>
      </c>
      <c r="B19" s="510"/>
      <c r="C19" s="510"/>
      <c r="D19" s="511"/>
      <c r="E19" s="31"/>
      <c r="F19" s="473" t="s">
        <v>334</v>
      </c>
      <c r="G19" s="31"/>
    </row>
    <row r="20" spans="1:7" s="4" customFormat="1" ht="15" customHeight="1" thickBot="1" x14ac:dyDescent="0.3">
      <c r="A20" s="52" t="s">
        <v>6</v>
      </c>
      <c r="B20" s="26" t="s">
        <v>165</v>
      </c>
      <c r="C20" s="28"/>
      <c r="D20" s="45"/>
      <c r="E20" s="32"/>
      <c r="F20" s="415" t="s">
        <v>19</v>
      </c>
      <c r="G20" s="32"/>
    </row>
    <row r="21" spans="1:7" ht="56.25" customHeight="1" x14ac:dyDescent="0.2">
      <c r="A21" s="42" t="s">
        <v>42</v>
      </c>
      <c r="B21" s="512" t="s">
        <v>161</v>
      </c>
      <c r="C21" s="513"/>
      <c r="D21" s="514"/>
      <c r="E21" s="13"/>
      <c r="F21" s="416">
        <f>150331.11*('PPI Adj'!D6)</f>
        <v>175436.40536999999</v>
      </c>
      <c r="G21" s="13"/>
    </row>
    <row r="22" spans="1:7" ht="33" customHeight="1" thickBot="1" x14ac:dyDescent="0.25">
      <c r="A22" s="43" t="s">
        <v>41</v>
      </c>
      <c r="B22" s="533" t="s">
        <v>163</v>
      </c>
      <c r="C22" s="534"/>
      <c r="D22" s="535"/>
      <c r="E22" s="1"/>
      <c r="F22" s="354">
        <v>20</v>
      </c>
      <c r="G22" s="1"/>
    </row>
    <row r="23" spans="1:7" ht="13.5" thickBot="1" x14ac:dyDescent="0.25">
      <c r="A23" s="69"/>
      <c r="B23" s="1"/>
      <c r="C23" s="1"/>
      <c r="D23" s="1"/>
      <c r="E23" s="1"/>
      <c r="F23" s="418"/>
      <c r="G23" s="1"/>
    </row>
    <row r="24" spans="1:7" s="7" customFormat="1" ht="15.75" customHeight="1" thickBot="1" x14ac:dyDescent="0.25">
      <c r="A24" s="536" t="s">
        <v>164</v>
      </c>
      <c r="B24" s="537"/>
      <c r="C24" s="537"/>
      <c r="D24" s="538"/>
      <c r="E24" s="33"/>
      <c r="F24" s="473" t="s">
        <v>334</v>
      </c>
      <c r="G24" s="33"/>
    </row>
    <row r="25" spans="1:7" s="3" customFormat="1" ht="15" customHeight="1" thickBot="1" x14ac:dyDescent="0.3">
      <c r="A25" s="52" t="s">
        <v>6</v>
      </c>
      <c r="B25" s="53" t="s">
        <v>7</v>
      </c>
      <c r="C25" s="539" t="s">
        <v>165</v>
      </c>
      <c r="D25" s="540"/>
      <c r="E25" s="34"/>
      <c r="F25" s="415" t="s">
        <v>19</v>
      </c>
      <c r="G25" s="34"/>
    </row>
    <row r="26" spans="1:7" s="13" customFormat="1" ht="64.5" customHeight="1" thickBot="1" x14ac:dyDescent="0.3">
      <c r="A26" s="46" t="s">
        <v>8</v>
      </c>
      <c r="B26" s="25" t="s">
        <v>310</v>
      </c>
      <c r="C26" s="515" t="s">
        <v>118</v>
      </c>
      <c r="D26" s="516"/>
      <c r="E26" s="29"/>
      <c r="F26" s="343">
        <v>33000</v>
      </c>
      <c r="G26" s="29"/>
    </row>
    <row r="27" spans="1:7" s="13" customFormat="1" x14ac:dyDescent="0.25">
      <c r="A27" s="517" t="s">
        <v>21</v>
      </c>
      <c r="B27" s="519" t="s">
        <v>315</v>
      </c>
      <c r="C27" s="521" t="s">
        <v>67</v>
      </c>
      <c r="D27" s="522"/>
      <c r="E27" s="29"/>
      <c r="F27" s="367">
        <v>13</v>
      </c>
      <c r="G27" s="29"/>
    </row>
    <row r="28" spans="1:7" s="13" customFormat="1" ht="13.5" thickBot="1" x14ac:dyDescent="0.3">
      <c r="A28" s="518"/>
      <c r="B28" s="520"/>
      <c r="C28" s="515" t="s">
        <v>68</v>
      </c>
      <c r="D28" s="516"/>
      <c r="E28" s="29"/>
      <c r="F28" s="343">
        <v>78</v>
      </c>
      <c r="G28" s="29"/>
    </row>
    <row r="29" spans="1:7" s="13" customFormat="1" ht="13.5" thickBot="1" x14ac:dyDescent="0.3">
      <c r="A29" s="47" t="s">
        <v>123</v>
      </c>
      <c r="B29" s="25" t="s">
        <v>108</v>
      </c>
      <c r="C29" s="571"/>
      <c r="D29" s="572"/>
      <c r="E29" s="259"/>
      <c r="F29" s="373"/>
      <c r="G29" s="259"/>
    </row>
    <row r="30" spans="1:7" s="13" customFormat="1" x14ac:dyDescent="0.25">
      <c r="A30" s="517" t="s">
        <v>59</v>
      </c>
      <c r="B30" s="519"/>
      <c r="C30" s="521" t="s">
        <v>58</v>
      </c>
      <c r="D30" s="522"/>
      <c r="E30" s="29"/>
      <c r="F30" s="367">
        <v>212</v>
      </c>
      <c r="G30" s="29"/>
    </row>
    <row r="31" spans="1:7" s="13" customFormat="1" x14ac:dyDescent="0.25">
      <c r="A31" s="525"/>
      <c r="B31" s="526"/>
      <c r="C31" s="527" t="s">
        <v>57</v>
      </c>
      <c r="D31" s="528"/>
      <c r="E31" s="29"/>
      <c r="F31" s="334">
        <v>452.8</v>
      </c>
      <c r="G31" s="29"/>
    </row>
    <row r="32" spans="1:7" s="13" customFormat="1" x14ac:dyDescent="0.25">
      <c r="A32" s="525"/>
      <c r="B32" s="526"/>
      <c r="C32" s="527" t="s">
        <v>69</v>
      </c>
      <c r="D32" s="528"/>
      <c r="E32" s="29"/>
      <c r="F32" s="334">
        <v>90</v>
      </c>
      <c r="G32" s="29"/>
    </row>
    <row r="33" spans="1:7" s="13" customFormat="1" x14ac:dyDescent="0.25">
      <c r="A33" s="525"/>
      <c r="B33" s="526"/>
      <c r="C33" s="529" t="s">
        <v>70</v>
      </c>
      <c r="D33" s="530"/>
      <c r="E33" s="29"/>
      <c r="F33" s="334">
        <v>78</v>
      </c>
      <c r="G33" s="29"/>
    </row>
    <row r="34" spans="1:7" s="13" customFormat="1" ht="13.5" thickBot="1" x14ac:dyDescent="0.3">
      <c r="A34" s="518"/>
      <c r="B34" s="520"/>
      <c r="C34" s="515" t="s">
        <v>111</v>
      </c>
      <c r="D34" s="516"/>
      <c r="E34" s="29"/>
      <c r="F34" s="343">
        <v>293</v>
      </c>
      <c r="G34" s="29"/>
    </row>
    <row r="35" spans="1:7" s="13" customFormat="1" x14ac:dyDescent="0.25">
      <c r="A35" s="517" t="s">
        <v>11</v>
      </c>
      <c r="B35" s="519"/>
      <c r="C35" s="521" t="s">
        <v>24</v>
      </c>
      <c r="D35" s="522"/>
      <c r="E35" s="29"/>
      <c r="F35" s="367">
        <v>13200</v>
      </c>
      <c r="G35" s="29"/>
    </row>
    <row r="36" spans="1:7" s="13" customFormat="1" ht="13.5" thickBot="1" x14ac:dyDescent="0.3">
      <c r="A36" s="518"/>
      <c r="B36" s="520"/>
      <c r="C36" s="515" t="s">
        <v>22</v>
      </c>
      <c r="D36" s="516"/>
      <c r="E36" s="29"/>
      <c r="F36" s="343">
        <v>14600</v>
      </c>
      <c r="G36" s="29"/>
    </row>
    <row r="37" spans="1:7" s="13" customFormat="1" x14ac:dyDescent="0.25">
      <c r="A37" s="517" t="s">
        <v>16</v>
      </c>
      <c r="B37" s="519"/>
      <c r="C37" s="521" t="s">
        <v>24</v>
      </c>
      <c r="D37" s="522"/>
      <c r="E37" s="29"/>
      <c r="F37" s="367">
        <v>23000</v>
      </c>
      <c r="G37" s="29"/>
    </row>
    <row r="38" spans="1:7" s="13" customFormat="1" ht="13.5" thickBot="1" x14ac:dyDescent="0.3">
      <c r="A38" s="518"/>
      <c r="B38" s="520"/>
      <c r="C38" s="523" t="s">
        <v>23</v>
      </c>
      <c r="D38" s="524"/>
      <c r="E38" s="29"/>
      <c r="F38" s="343">
        <v>23000</v>
      </c>
      <c r="G38" s="29"/>
    </row>
    <row r="39" spans="1:7" s="13" customFormat="1" ht="17.100000000000001" customHeight="1" thickBot="1" x14ac:dyDescent="0.3">
      <c r="A39" s="47" t="s">
        <v>52</v>
      </c>
      <c r="B39" s="25" t="s">
        <v>53</v>
      </c>
      <c r="C39" s="571"/>
      <c r="D39" s="572"/>
      <c r="E39" s="259"/>
      <c r="F39" s="373"/>
      <c r="G39" s="259"/>
    </row>
    <row r="40" spans="1:7" s="13" customFormat="1" x14ac:dyDescent="0.25">
      <c r="A40" s="517" t="s">
        <v>219</v>
      </c>
      <c r="B40" s="519" t="s">
        <v>222</v>
      </c>
      <c r="C40" s="521" t="s">
        <v>221</v>
      </c>
      <c r="D40" s="522"/>
      <c r="E40" s="29"/>
      <c r="F40" s="367" t="s">
        <v>464</v>
      </c>
      <c r="G40" s="29"/>
    </row>
    <row r="41" spans="1:7" s="13" customFormat="1" ht="14.45" customHeight="1" x14ac:dyDescent="0.25">
      <c r="A41" s="525"/>
      <c r="B41" s="526"/>
      <c r="C41" s="527" t="s">
        <v>220</v>
      </c>
      <c r="D41" s="528"/>
      <c r="E41" s="29"/>
      <c r="F41" s="334" t="s">
        <v>425</v>
      </c>
      <c r="G41" s="29"/>
    </row>
    <row r="42" spans="1:7" s="13" customFormat="1" ht="70.5" customHeight="1" thickBot="1" x14ac:dyDescent="0.3">
      <c r="A42" s="518"/>
      <c r="B42" s="526"/>
      <c r="C42" s="523"/>
      <c r="D42" s="524"/>
      <c r="E42" s="29"/>
      <c r="F42" s="329"/>
      <c r="G42" s="29"/>
    </row>
    <row r="43" spans="1:7" s="13" customFormat="1" ht="28.5" customHeight="1" thickBot="1" x14ac:dyDescent="0.3">
      <c r="A43" s="47" t="s">
        <v>219</v>
      </c>
      <c r="B43" s="25" t="s">
        <v>218</v>
      </c>
      <c r="C43" s="571"/>
      <c r="D43" s="572"/>
      <c r="E43" s="259"/>
      <c r="F43" s="373"/>
      <c r="G43" s="259"/>
    </row>
    <row r="44" spans="1:7" s="13" customFormat="1" ht="13.5" thickBot="1" x14ac:dyDescent="0.3">
      <c r="A44" s="541" t="s">
        <v>12</v>
      </c>
      <c r="B44" s="542" t="s">
        <v>142</v>
      </c>
      <c r="C44" s="521" t="s">
        <v>174</v>
      </c>
      <c r="D44" s="522"/>
      <c r="E44" s="29"/>
      <c r="F44" s="367" t="s">
        <v>413</v>
      </c>
      <c r="G44" s="29"/>
    </row>
    <row r="45" spans="1:7" s="13" customFormat="1" ht="13.5" thickBot="1" x14ac:dyDescent="0.3">
      <c r="A45" s="541"/>
      <c r="B45" s="542"/>
      <c r="C45" s="527" t="s">
        <v>175</v>
      </c>
      <c r="D45" s="528"/>
      <c r="E45" s="29"/>
      <c r="F45" s="334">
        <v>6610</v>
      </c>
      <c r="G45" s="29"/>
    </row>
    <row r="46" spans="1:7" s="13" customFormat="1" ht="13.5" thickBot="1" x14ac:dyDescent="0.3">
      <c r="A46" s="541"/>
      <c r="B46" s="542"/>
      <c r="C46" s="527" t="s">
        <v>176</v>
      </c>
      <c r="D46" s="528"/>
      <c r="E46" s="29"/>
      <c r="F46" s="419" t="s">
        <v>413</v>
      </c>
      <c r="G46" s="29"/>
    </row>
    <row r="47" spans="1:7" s="13" customFormat="1" ht="13.5" thickBot="1" x14ac:dyDescent="0.3">
      <c r="A47" s="541"/>
      <c r="B47" s="542"/>
      <c r="C47" s="527" t="s">
        <v>177</v>
      </c>
      <c r="D47" s="528"/>
      <c r="E47" s="29"/>
      <c r="F47" s="334">
        <v>6005</v>
      </c>
      <c r="G47" s="29"/>
    </row>
    <row r="48" spans="1:7" s="13" customFormat="1" ht="13.5" thickBot="1" x14ac:dyDescent="0.3">
      <c r="A48" s="541"/>
      <c r="B48" s="542"/>
      <c r="C48" s="527" t="s">
        <v>112</v>
      </c>
      <c r="D48" s="528"/>
      <c r="E48" s="29"/>
      <c r="F48" s="334" t="s">
        <v>483</v>
      </c>
      <c r="G48" s="29"/>
    </row>
    <row r="49" spans="1:7" s="13" customFormat="1" ht="13.5" thickBot="1" x14ac:dyDescent="0.3">
      <c r="A49" s="541"/>
      <c r="B49" s="542"/>
      <c r="C49" s="527" t="s">
        <v>113</v>
      </c>
      <c r="D49" s="528"/>
      <c r="E49" s="29"/>
      <c r="F49" s="334" t="s">
        <v>484</v>
      </c>
      <c r="G49" s="29"/>
    </row>
    <row r="50" spans="1:7" s="13" customFormat="1" ht="13.5" thickBot="1" x14ac:dyDescent="0.3">
      <c r="A50" s="541"/>
      <c r="B50" s="542"/>
      <c r="C50" s="529" t="s">
        <v>114</v>
      </c>
      <c r="D50" s="530"/>
      <c r="E50" s="29"/>
      <c r="F50" s="334" t="s">
        <v>483</v>
      </c>
      <c r="G50" s="29"/>
    </row>
    <row r="51" spans="1:7" s="13" customFormat="1" ht="13.5" thickBot="1" x14ac:dyDescent="0.3">
      <c r="A51" s="541"/>
      <c r="B51" s="542"/>
      <c r="C51" s="515" t="s">
        <v>115</v>
      </c>
      <c r="D51" s="516"/>
      <c r="E51" s="29"/>
      <c r="F51" s="343" t="s">
        <v>484</v>
      </c>
      <c r="G51" s="29"/>
    </row>
    <row r="52" spans="1:7" s="13" customFormat="1" x14ac:dyDescent="0.25">
      <c r="A52" s="517" t="s">
        <v>10</v>
      </c>
      <c r="B52" s="519" t="s">
        <v>217</v>
      </c>
      <c r="C52" s="521" t="s">
        <v>116</v>
      </c>
      <c r="D52" s="522"/>
      <c r="E52" s="29"/>
      <c r="F52" s="367">
        <v>5</v>
      </c>
      <c r="G52" s="29"/>
    </row>
    <row r="53" spans="1:7" s="13" customFormat="1" x14ac:dyDescent="0.25">
      <c r="A53" s="525"/>
      <c r="B53" s="526"/>
      <c r="C53" s="527" t="s">
        <v>117</v>
      </c>
      <c r="D53" s="528"/>
      <c r="E53" s="29"/>
      <c r="F53" s="334" t="s">
        <v>341</v>
      </c>
      <c r="G53" s="29"/>
    </row>
    <row r="54" spans="1:7" s="13" customFormat="1" ht="26.25" thickBot="1" x14ac:dyDescent="0.3">
      <c r="A54" s="525"/>
      <c r="B54" s="526"/>
      <c r="C54" s="523" t="s">
        <v>71</v>
      </c>
      <c r="D54" s="524"/>
      <c r="E54" s="29"/>
      <c r="F54" s="329" t="s">
        <v>467</v>
      </c>
      <c r="G54" s="29"/>
    </row>
    <row r="55" spans="1:7" s="13" customFormat="1" ht="78" customHeight="1" thickBot="1" x14ac:dyDescent="0.3">
      <c r="A55" s="48" t="s">
        <v>9</v>
      </c>
      <c r="B55" s="23" t="s">
        <v>254</v>
      </c>
      <c r="C55" s="529"/>
      <c r="D55" s="530"/>
      <c r="E55" s="29"/>
      <c r="F55" s="367"/>
      <c r="G55" s="29"/>
    </row>
    <row r="56" spans="1:7" s="13" customFormat="1" ht="27" customHeight="1" thickBot="1" x14ac:dyDescent="0.3">
      <c r="A56" s="48" t="s">
        <v>253</v>
      </c>
      <c r="B56" s="23" t="s">
        <v>252</v>
      </c>
      <c r="C56" s="571"/>
      <c r="D56" s="572"/>
      <c r="E56" s="259"/>
      <c r="F56" s="384"/>
      <c r="G56" s="259"/>
    </row>
    <row r="57" spans="1:7" s="13" customFormat="1" ht="25.5" x14ac:dyDescent="0.25">
      <c r="A57" s="517" t="s">
        <v>25</v>
      </c>
      <c r="B57" s="519" t="s">
        <v>93</v>
      </c>
      <c r="C57" s="521" t="s">
        <v>72</v>
      </c>
      <c r="D57" s="522"/>
      <c r="E57" s="29"/>
      <c r="F57" s="367" t="s">
        <v>468</v>
      </c>
      <c r="G57" s="29"/>
    </row>
    <row r="58" spans="1:7" s="13" customFormat="1" ht="58.5" customHeight="1" thickBot="1" x14ac:dyDescent="0.3">
      <c r="A58" s="518"/>
      <c r="B58" s="520"/>
      <c r="C58" s="515" t="s">
        <v>73</v>
      </c>
      <c r="D58" s="516"/>
      <c r="E58" s="29"/>
      <c r="F58" s="343">
        <v>185</v>
      </c>
      <c r="G58" s="29"/>
    </row>
    <row r="59" spans="1:7" s="13" customFormat="1" x14ac:dyDescent="0.25">
      <c r="A59" s="517" t="s">
        <v>26</v>
      </c>
      <c r="B59" s="519" t="s">
        <v>251</v>
      </c>
      <c r="C59" s="521" t="s">
        <v>74</v>
      </c>
      <c r="D59" s="522"/>
      <c r="E59" s="29"/>
      <c r="F59" s="367" t="s">
        <v>469</v>
      </c>
      <c r="G59" s="29"/>
    </row>
    <row r="60" spans="1:7" s="13" customFormat="1" x14ac:dyDescent="0.25">
      <c r="A60" s="525"/>
      <c r="B60" s="526"/>
      <c r="C60" s="527" t="s">
        <v>75</v>
      </c>
      <c r="D60" s="528"/>
      <c r="E60" s="29"/>
      <c r="F60" s="334">
        <v>3</v>
      </c>
      <c r="G60" s="29"/>
    </row>
    <row r="61" spans="1:7" s="13" customFormat="1" ht="32.25" customHeight="1" thickBot="1" x14ac:dyDescent="0.3">
      <c r="A61" s="518"/>
      <c r="B61" s="520"/>
      <c r="C61" s="515" t="s">
        <v>250</v>
      </c>
      <c r="D61" s="516"/>
      <c r="E61" s="29"/>
      <c r="F61" s="343" t="s">
        <v>470</v>
      </c>
      <c r="G61" s="29"/>
    </row>
    <row r="62" spans="1:7" s="13" customFormat="1" ht="15.6" customHeight="1" thickBot="1" x14ac:dyDescent="0.3">
      <c r="A62" s="47" t="s">
        <v>44</v>
      </c>
      <c r="B62" s="25" t="s">
        <v>45</v>
      </c>
      <c r="C62" s="571"/>
      <c r="D62" s="572"/>
      <c r="E62" s="259"/>
      <c r="F62" s="384"/>
      <c r="G62" s="259"/>
    </row>
    <row r="63" spans="1:7" s="13" customFormat="1" ht="28.5" customHeight="1" thickBot="1" x14ac:dyDescent="0.3">
      <c r="A63" s="47" t="s">
        <v>44</v>
      </c>
      <c r="B63" s="25" t="s">
        <v>63</v>
      </c>
      <c r="C63" s="571"/>
      <c r="D63" s="572"/>
      <c r="E63" s="259"/>
      <c r="F63" s="384"/>
      <c r="G63" s="259"/>
    </row>
    <row r="64" spans="1:7" s="13" customFormat="1" ht="30" customHeight="1" thickBot="1" x14ac:dyDescent="0.3">
      <c r="A64" s="47" t="s">
        <v>44</v>
      </c>
      <c r="B64" s="25" t="s">
        <v>64</v>
      </c>
      <c r="C64" s="571"/>
      <c r="D64" s="572"/>
      <c r="E64" s="259"/>
      <c r="F64" s="384"/>
      <c r="G64" s="259"/>
    </row>
    <row r="65" spans="1:7" s="13" customFormat="1" ht="30.95" customHeight="1" thickBot="1" x14ac:dyDescent="0.3">
      <c r="A65" s="47" t="s">
        <v>50</v>
      </c>
      <c r="B65" s="25" t="s">
        <v>216</v>
      </c>
      <c r="C65" s="571"/>
      <c r="D65" s="572"/>
      <c r="E65" s="259"/>
      <c r="F65" s="384"/>
      <c r="G65" s="259"/>
    </row>
    <row r="66" spans="1:7" s="13" customFormat="1" ht="13.5" thickBot="1" x14ac:dyDescent="0.3">
      <c r="A66" s="47" t="s">
        <v>27</v>
      </c>
      <c r="B66" s="25" t="s">
        <v>215</v>
      </c>
      <c r="C66" s="543" t="s">
        <v>77</v>
      </c>
      <c r="D66" s="544"/>
      <c r="E66" s="29"/>
      <c r="F66" s="373" t="s">
        <v>406</v>
      </c>
      <c r="G66" s="29"/>
    </row>
    <row r="67" spans="1:7" s="13" customFormat="1" ht="53.1" customHeight="1" thickBot="1" x14ac:dyDescent="0.3">
      <c r="A67" s="47" t="s">
        <v>214</v>
      </c>
      <c r="B67" s="25" t="s">
        <v>213</v>
      </c>
      <c r="C67" s="543"/>
      <c r="D67" s="544"/>
      <c r="E67" s="29"/>
      <c r="F67" s="373"/>
      <c r="G67" s="29"/>
    </row>
    <row r="68" spans="1:7" s="13" customFormat="1" ht="15" customHeight="1" x14ac:dyDescent="0.25">
      <c r="A68" s="517" t="s">
        <v>28</v>
      </c>
      <c r="B68" s="519" t="s">
        <v>264</v>
      </c>
      <c r="C68" s="749" t="s">
        <v>248</v>
      </c>
      <c r="D68" s="522"/>
      <c r="E68" s="29"/>
      <c r="F68" s="367">
        <v>60</v>
      </c>
      <c r="G68" s="29"/>
    </row>
    <row r="69" spans="1:7" s="13" customFormat="1" ht="29.25" customHeight="1" thickBot="1" x14ac:dyDescent="0.3">
      <c r="A69" s="518"/>
      <c r="B69" s="520"/>
      <c r="C69" s="584" t="s">
        <v>247</v>
      </c>
      <c r="D69" s="516"/>
      <c r="E69" s="29"/>
      <c r="F69" s="343" t="s">
        <v>428</v>
      </c>
      <c r="G69" s="29"/>
    </row>
    <row r="70" spans="1:7" s="13" customFormat="1" ht="40.5" customHeight="1" thickBot="1" x14ac:dyDescent="0.3">
      <c r="A70" s="47" t="s">
        <v>51</v>
      </c>
      <c r="B70" s="25" t="s">
        <v>212</v>
      </c>
      <c r="C70" s="571"/>
      <c r="D70" s="572"/>
      <c r="E70" s="259"/>
      <c r="F70" s="373"/>
      <c r="G70" s="259"/>
    </row>
    <row r="71" spans="1:7" s="13" customFormat="1" ht="40.5" customHeight="1" thickBot="1" x14ac:dyDescent="0.3">
      <c r="A71" s="47" t="s">
        <v>54</v>
      </c>
      <c r="B71" s="25" t="s">
        <v>80</v>
      </c>
      <c r="C71" s="571"/>
      <c r="D71" s="572"/>
      <c r="E71" s="259"/>
      <c r="F71" s="373"/>
      <c r="G71" s="259"/>
    </row>
    <row r="72" spans="1:7" s="13" customFormat="1" ht="78" customHeight="1" thickBot="1" x14ac:dyDescent="0.3">
      <c r="A72" s="47" t="s">
        <v>29</v>
      </c>
      <c r="B72" s="25" t="s">
        <v>211</v>
      </c>
      <c r="C72" s="571"/>
      <c r="D72" s="572"/>
      <c r="E72" s="259"/>
      <c r="F72" s="373"/>
      <c r="G72" s="259"/>
    </row>
    <row r="73" spans="1:7" s="13" customFormat="1" ht="53.45" customHeight="1" thickBot="1" x14ac:dyDescent="0.3">
      <c r="A73" s="47" t="s">
        <v>31</v>
      </c>
      <c r="B73" s="25" t="s">
        <v>210</v>
      </c>
      <c r="C73" s="543" t="s">
        <v>30</v>
      </c>
      <c r="D73" s="544"/>
      <c r="E73" s="29"/>
      <c r="F73" s="373" t="s">
        <v>408</v>
      </c>
      <c r="G73" s="29"/>
    </row>
    <row r="74" spans="1:7" s="13" customFormat="1" ht="27.95" customHeight="1" thickBot="1" x14ac:dyDescent="0.3">
      <c r="A74" s="47" t="s">
        <v>55</v>
      </c>
      <c r="B74" s="25" t="s">
        <v>95</v>
      </c>
      <c r="C74" s="571"/>
      <c r="D74" s="572"/>
      <c r="E74" s="259"/>
      <c r="F74" s="373"/>
      <c r="G74" s="259"/>
    </row>
    <row r="75" spans="1:7" s="13" customFormat="1" ht="29.45" customHeight="1" thickBot="1" x14ac:dyDescent="0.3">
      <c r="A75" s="47" t="s">
        <v>32</v>
      </c>
      <c r="B75" s="25" t="s">
        <v>96</v>
      </c>
      <c r="C75" s="543" t="s">
        <v>30</v>
      </c>
      <c r="D75" s="544"/>
      <c r="E75" s="29"/>
      <c r="F75" s="373" t="s">
        <v>471</v>
      </c>
      <c r="G75" s="29"/>
    </row>
    <row r="76" spans="1:7" s="13" customFormat="1" ht="39.6" customHeight="1" thickBot="1" x14ac:dyDescent="0.3">
      <c r="A76" s="47" t="s">
        <v>56</v>
      </c>
      <c r="B76" s="25" t="s">
        <v>167</v>
      </c>
      <c r="C76" s="571"/>
      <c r="D76" s="572"/>
      <c r="E76" s="259"/>
      <c r="F76" s="373"/>
      <c r="G76" s="259"/>
    </row>
    <row r="77" spans="1:7" s="13" customFormat="1" ht="27.95" customHeight="1" thickBot="1" x14ac:dyDescent="0.3">
      <c r="A77" s="47" t="s">
        <v>48</v>
      </c>
      <c r="B77" s="25" t="s">
        <v>47</v>
      </c>
      <c r="C77" s="571"/>
      <c r="D77" s="572"/>
      <c r="E77" s="259"/>
      <c r="F77" s="373"/>
      <c r="G77" s="259"/>
    </row>
    <row r="78" spans="1:7" s="13" customFormat="1" ht="27.6" customHeight="1" thickBot="1" x14ac:dyDescent="0.3">
      <c r="A78" s="47" t="s">
        <v>49</v>
      </c>
      <c r="B78" s="25" t="s">
        <v>103</v>
      </c>
      <c r="C78" s="571"/>
      <c r="D78" s="572"/>
      <c r="E78" s="259"/>
      <c r="F78" s="373"/>
      <c r="G78" s="259"/>
    </row>
    <row r="79" spans="1:7" s="13" customFormat="1" ht="26.25" thickBot="1" x14ac:dyDescent="0.3">
      <c r="A79" s="47" t="s">
        <v>46</v>
      </c>
      <c r="B79" s="25" t="s">
        <v>81</v>
      </c>
      <c r="C79" s="571"/>
      <c r="D79" s="572"/>
      <c r="E79" s="259"/>
      <c r="F79" s="373"/>
      <c r="G79" s="259"/>
    </row>
    <row r="80" spans="1:7" ht="13.5" thickBot="1" x14ac:dyDescent="0.25"/>
    <row r="81" spans="1:6" s="16" customFormat="1" ht="18" customHeight="1" thickBot="1" x14ac:dyDescent="0.3">
      <c r="A81" s="536" t="s">
        <v>168</v>
      </c>
      <c r="B81" s="537"/>
      <c r="C81" s="537"/>
      <c r="D81" s="538"/>
      <c r="E81" s="33"/>
      <c r="F81" s="473" t="s">
        <v>334</v>
      </c>
    </row>
    <row r="82" spans="1:6" s="3" customFormat="1" ht="15" customHeight="1" thickBot="1" x14ac:dyDescent="0.3">
      <c r="A82" s="545" t="s">
        <v>169</v>
      </c>
      <c r="B82" s="546"/>
      <c r="C82" s="546"/>
      <c r="D82" s="547"/>
      <c r="E82" s="34"/>
      <c r="F82" s="415" t="s">
        <v>19</v>
      </c>
    </row>
    <row r="83" spans="1:6" s="13" customFormat="1" ht="12.75" customHeight="1" x14ac:dyDescent="0.25">
      <c r="A83" s="548" t="s">
        <v>83</v>
      </c>
      <c r="B83" s="549"/>
      <c r="C83" s="549"/>
      <c r="D83" s="550"/>
      <c r="E83" s="259"/>
      <c r="F83" s="420">
        <f>-1010*('PPI Adj'!D6)</f>
        <v>-1178.67</v>
      </c>
    </row>
    <row r="84" spans="1:6" s="13" customFormat="1" ht="12.75" customHeight="1" x14ac:dyDescent="0.25">
      <c r="A84" s="551" t="s">
        <v>34</v>
      </c>
      <c r="B84" s="552"/>
      <c r="C84" s="552"/>
      <c r="D84" s="553"/>
      <c r="E84" s="29"/>
      <c r="F84" s="421">
        <f>678*('PPI Adj'!D6)</f>
        <v>791.226</v>
      </c>
    </row>
    <row r="85" spans="1:6" s="13" customFormat="1" x14ac:dyDescent="0.25">
      <c r="A85" s="551" t="s">
        <v>35</v>
      </c>
      <c r="B85" s="552"/>
      <c r="C85" s="552"/>
      <c r="D85" s="553"/>
      <c r="E85" s="259"/>
      <c r="F85" s="421">
        <f>44*('PPI Adj'!D6)</f>
        <v>51.347999999999999</v>
      </c>
    </row>
    <row r="86" spans="1:6" s="13" customFormat="1" x14ac:dyDescent="0.25">
      <c r="A86" s="551" t="s">
        <v>36</v>
      </c>
      <c r="B86" s="552"/>
      <c r="C86" s="552"/>
      <c r="D86" s="553"/>
      <c r="E86" s="29"/>
      <c r="F86" s="421">
        <f>738*('PPI Adj'!D6)</f>
        <v>861.24599999999998</v>
      </c>
    </row>
    <row r="87" spans="1:6" s="13" customFormat="1" x14ac:dyDescent="0.25">
      <c r="A87" s="551" t="s">
        <v>60</v>
      </c>
      <c r="B87" s="552"/>
      <c r="C87" s="552"/>
      <c r="D87" s="553"/>
      <c r="E87" s="29"/>
      <c r="F87" s="421">
        <f>95*('PPI Adj'!D6)</f>
        <v>110.86500000000001</v>
      </c>
    </row>
    <row r="88" spans="1:6" s="13" customFormat="1" x14ac:dyDescent="0.25">
      <c r="A88" s="551" t="s">
        <v>61</v>
      </c>
      <c r="B88" s="552"/>
      <c r="C88" s="552"/>
      <c r="D88" s="553"/>
      <c r="E88" s="29"/>
      <c r="F88" s="421">
        <f>386*('PPI Adj'!D6)</f>
        <v>450.46199999999999</v>
      </c>
    </row>
    <row r="89" spans="1:6" s="13" customFormat="1" ht="12.75" customHeight="1" x14ac:dyDescent="0.25">
      <c r="A89" s="551" t="s">
        <v>86</v>
      </c>
      <c r="B89" s="552"/>
      <c r="C89" s="552"/>
      <c r="D89" s="553"/>
      <c r="E89" s="29"/>
      <c r="F89" s="421">
        <f>856*('PPI Adj'!D6)</f>
        <v>998.952</v>
      </c>
    </row>
    <row r="90" spans="1:6" ht="12.75" customHeight="1" x14ac:dyDescent="0.2">
      <c r="A90" s="551" t="s">
        <v>85</v>
      </c>
      <c r="B90" s="552"/>
      <c r="C90" s="552"/>
      <c r="D90" s="553"/>
      <c r="E90" s="29"/>
      <c r="F90" s="421">
        <f>7550.4*('PPI Adj'!D6)</f>
        <v>8811.3168000000005</v>
      </c>
    </row>
    <row r="91" spans="1:6" x14ac:dyDescent="0.2">
      <c r="A91" s="551" t="s">
        <v>13</v>
      </c>
      <c r="B91" s="552"/>
      <c r="C91" s="552"/>
      <c r="D91" s="553"/>
      <c r="E91" s="29"/>
      <c r="F91" s="421">
        <f>10801*('PPI Adj'!D6)</f>
        <v>12604.767</v>
      </c>
    </row>
    <row r="92" spans="1:6" ht="12.75" customHeight="1" x14ac:dyDescent="0.2">
      <c r="A92" s="551" t="s">
        <v>37</v>
      </c>
      <c r="B92" s="552"/>
      <c r="C92" s="552"/>
      <c r="D92" s="553"/>
      <c r="E92" s="259"/>
      <c r="F92" s="421">
        <f>1000*('PPI Adj'!D6)</f>
        <v>1167</v>
      </c>
    </row>
    <row r="93" spans="1:6" x14ac:dyDescent="0.2">
      <c r="A93" s="551" t="s">
        <v>38</v>
      </c>
      <c r="B93" s="552"/>
      <c r="C93" s="552"/>
      <c r="D93" s="553"/>
      <c r="E93" s="259"/>
      <c r="F93" s="421">
        <f>737*('PPI Adj'!D6)</f>
        <v>860.07900000000006</v>
      </c>
    </row>
    <row r="94" spans="1:6" x14ac:dyDescent="0.2">
      <c r="A94" s="551" t="s">
        <v>201</v>
      </c>
      <c r="B94" s="552"/>
      <c r="C94" s="552"/>
      <c r="D94" s="553"/>
      <c r="E94" s="259"/>
      <c r="F94" s="421" t="s">
        <v>183</v>
      </c>
    </row>
    <row r="95" spans="1:6" x14ac:dyDescent="0.2">
      <c r="A95" s="551" t="s">
        <v>39</v>
      </c>
      <c r="B95" s="552"/>
      <c r="C95" s="552"/>
      <c r="D95" s="553"/>
      <c r="E95" s="29"/>
      <c r="F95" s="421">
        <f>678*('PPI Adj'!D6)</f>
        <v>791.226</v>
      </c>
    </row>
    <row r="96" spans="1:6" ht="12.75" customHeight="1" x14ac:dyDescent="0.2">
      <c r="A96" s="551" t="s">
        <v>88</v>
      </c>
      <c r="B96" s="552"/>
      <c r="C96" s="552"/>
      <c r="D96" s="553"/>
      <c r="E96" s="29"/>
      <c r="F96" s="421">
        <f>4245*('PPI Adj'!D6)</f>
        <v>4953.915</v>
      </c>
    </row>
    <row r="97" spans="1:6" x14ac:dyDescent="0.2">
      <c r="A97" s="551" t="s">
        <v>40</v>
      </c>
      <c r="B97" s="552"/>
      <c r="C97" s="552"/>
      <c r="D97" s="553"/>
      <c r="E97" s="29"/>
      <c r="F97" s="421">
        <f>225*('PPI Adj'!D6)</f>
        <v>262.57499999999999</v>
      </c>
    </row>
    <row r="98" spans="1:6" x14ac:dyDescent="0.2">
      <c r="A98" s="551" t="s">
        <v>14</v>
      </c>
      <c r="B98" s="552"/>
      <c r="C98" s="552"/>
      <c r="D98" s="553"/>
      <c r="E98" s="29"/>
      <c r="F98" s="421">
        <f>8780.67*('PPI Adj'!D6)</f>
        <v>10247.04189</v>
      </c>
    </row>
    <row r="99" spans="1:6" ht="12.75" customHeight="1" x14ac:dyDescent="0.2">
      <c r="A99" s="551" t="s">
        <v>91</v>
      </c>
      <c r="B99" s="552"/>
      <c r="C99" s="552"/>
      <c r="D99" s="553"/>
      <c r="E99" s="29"/>
      <c r="F99" s="421">
        <f>1971*('PPI Adj'!D6)</f>
        <v>2300.1570000000002</v>
      </c>
    </row>
    <row r="100" spans="1:6" x14ac:dyDescent="0.2">
      <c r="A100" s="557" t="s">
        <v>272</v>
      </c>
      <c r="B100" s="558"/>
      <c r="C100" s="558"/>
      <c r="D100" s="559"/>
      <c r="E100" s="29"/>
      <c r="F100" s="422">
        <f>-1036*('PPI Adj'!D6)</f>
        <v>-1209.0119999999999</v>
      </c>
    </row>
    <row r="101" spans="1:6" ht="13.5" customHeight="1" thickBot="1" x14ac:dyDescent="0.25">
      <c r="A101" s="554" t="s">
        <v>92</v>
      </c>
      <c r="B101" s="555"/>
      <c r="C101" s="555"/>
      <c r="D101" s="556"/>
      <c r="E101" s="259"/>
      <c r="F101" s="423">
        <f>-2023*('PPI Adj'!D6)</f>
        <v>-2360.8409999999999</v>
      </c>
    </row>
    <row r="102" spans="1:6" ht="13.5" thickBot="1" x14ac:dyDescent="0.25"/>
    <row r="103" spans="1:6" s="16" customFormat="1" ht="18" customHeight="1" thickBot="1" x14ac:dyDescent="0.3">
      <c r="A103" s="536" t="s">
        <v>166</v>
      </c>
      <c r="B103" s="537"/>
      <c r="C103" s="537"/>
      <c r="D103" s="538"/>
      <c r="E103" s="33"/>
      <c r="F103" s="473" t="s">
        <v>334</v>
      </c>
    </row>
    <row r="104" spans="1:6" s="3" customFormat="1" ht="15" customHeight="1" thickBot="1" x14ac:dyDescent="0.3">
      <c r="A104" s="49" t="s">
        <v>33</v>
      </c>
      <c r="B104" s="19" t="s">
        <v>7</v>
      </c>
      <c r="C104" s="560" t="s">
        <v>165</v>
      </c>
      <c r="D104" s="561"/>
      <c r="E104" s="34"/>
      <c r="F104" s="415" t="s">
        <v>19</v>
      </c>
    </row>
    <row r="105" spans="1:6" s="13" customFormat="1" ht="40.5" customHeight="1" thickBot="1" x14ac:dyDescent="0.3">
      <c r="A105" s="50" t="s">
        <v>83</v>
      </c>
      <c r="B105" s="18" t="s">
        <v>146</v>
      </c>
      <c r="C105" s="584"/>
      <c r="D105" s="585"/>
      <c r="E105" s="259"/>
      <c r="F105" s="373"/>
    </row>
    <row r="106" spans="1:6" s="13" customFormat="1" ht="26.25" thickBot="1" x14ac:dyDescent="0.3">
      <c r="A106" s="47" t="s">
        <v>34</v>
      </c>
      <c r="B106" s="25" t="s">
        <v>107</v>
      </c>
      <c r="C106" s="543" t="s">
        <v>30</v>
      </c>
      <c r="D106" s="544"/>
      <c r="E106" s="29"/>
      <c r="F106" s="373" t="s">
        <v>349</v>
      </c>
    </row>
    <row r="107" spans="1:6" s="13" customFormat="1" ht="53.45" customHeight="1" thickBot="1" x14ac:dyDescent="0.3">
      <c r="A107" s="47" t="s">
        <v>35</v>
      </c>
      <c r="B107" s="25" t="s">
        <v>97</v>
      </c>
      <c r="C107" s="571"/>
      <c r="D107" s="572"/>
      <c r="E107" s="259"/>
      <c r="F107" s="373"/>
    </row>
    <row r="108" spans="1:6" s="13" customFormat="1" ht="28.5" customHeight="1" thickBot="1" x14ac:dyDescent="0.3">
      <c r="A108" s="47" t="s">
        <v>36</v>
      </c>
      <c r="B108" s="25" t="s">
        <v>84</v>
      </c>
      <c r="C108" s="543" t="s">
        <v>99</v>
      </c>
      <c r="D108" s="544"/>
      <c r="E108" s="29"/>
      <c r="F108" s="373" t="s">
        <v>410</v>
      </c>
    </row>
    <row r="109" spans="1:6" s="13" customFormat="1" ht="12.75" customHeight="1" x14ac:dyDescent="0.25">
      <c r="A109" s="517" t="s">
        <v>60</v>
      </c>
      <c r="B109" s="519" t="s">
        <v>133</v>
      </c>
      <c r="C109" s="521" t="s">
        <v>203</v>
      </c>
      <c r="D109" s="522"/>
      <c r="E109" s="29"/>
      <c r="F109" s="367" t="s">
        <v>413</v>
      </c>
    </row>
    <row r="110" spans="1:6" s="13" customFormat="1" x14ac:dyDescent="0.25">
      <c r="A110" s="525"/>
      <c r="B110" s="526"/>
      <c r="C110" s="527" t="s">
        <v>202</v>
      </c>
      <c r="D110" s="528"/>
      <c r="E110" s="29"/>
      <c r="F110" s="334">
        <v>6005</v>
      </c>
    </row>
    <row r="111" spans="1:6" s="13" customFormat="1" x14ac:dyDescent="0.25">
      <c r="A111" s="525"/>
      <c r="B111" s="526"/>
      <c r="C111" s="527" t="s">
        <v>114</v>
      </c>
      <c r="D111" s="528"/>
      <c r="E111" s="29"/>
      <c r="F111" s="334" t="s">
        <v>485</v>
      </c>
    </row>
    <row r="112" spans="1:6" s="13" customFormat="1" ht="30.75" customHeight="1" thickBot="1" x14ac:dyDescent="0.3">
      <c r="A112" s="518"/>
      <c r="B112" s="520"/>
      <c r="C112" s="515" t="s">
        <v>115</v>
      </c>
      <c r="D112" s="516"/>
      <c r="E112" s="29"/>
      <c r="F112" s="343" t="s">
        <v>473</v>
      </c>
    </row>
    <row r="113" spans="1:6" s="13" customFormat="1" ht="12.75" customHeight="1" x14ac:dyDescent="0.25">
      <c r="A113" s="517" t="s">
        <v>61</v>
      </c>
      <c r="B113" s="519" t="s">
        <v>206</v>
      </c>
      <c r="C113" s="521" t="s">
        <v>205</v>
      </c>
      <c r="D113" s="522"/>
      <c r="E113" s="29"/>
      <c r="F113" s="367" t="s">
        <v>474</v>
      </c>
    </row>
    <row r="114" spans="1:6" s="13" customFormat="1" x14ac:dyDescent="0.25">
      <c r="A114" s="525"/>
      <c r="B114" s="526"/>
      <c r="C114" s="527" t="s">
        <v>204</v>
      </c>
      <c r="D114" s="528"/>
      <c r="E114" s="29"/>
      <c r="F114" s="419">
        <v>6610</v>
      </c>
    </row>
    <row r="115" spans="1:6" s="13" customFormat="1" x14ac:dyDescent="0.25">
      <c r="A115" s="525"/>
      <c r="B115" s="526"/>
      <c r="C115" s="527" t="s">
        <v>203</v>
      </c>
      <c r="D115" s="528"/>
      <c r="E115" s="29"/>
      <c r="F115" s="419" t="s">
        <v>474</v>
      </c>
    </row>
    <row r="116" spans="1:6" s="13" customFormat="1" x14ac:dyDescent="0.25">
      <c r="A116" s="525"/>
      <c r="B116" s="526"/>
      <c r="C116" s="527" t="s">
        <v>202</v>
      </c>
      <c r="D116" s="528"/>
      <c r="E116" s="29"/>
      <c r="F116" s="334">
        <v>6005</v>
      </c>
    </row>
    <row r="117" spans="1:6" s="13" customFormat="1" x14ac:dyDescent="0.25">
      <c r="A117" s="525"/>
      <c r="B117" s="526"/>
      <c r="C117" s="527" t="s">
        <v>112</v>
      </c>
      <c r="D117" s="528"/>
      <c r="E117" s="29"/>
      <c r="F117" s="334" t="s">
        <v>475</v>
      </c>
    </row>
    <row r="118" spans="1:6" s="13" customFormat="1" x14ac:dyDescent="0.25">
      <c r="A118" s="525"/>
      <c r="B118" s="526"/>
      <c r="C118" s="527" t="s">
        <v>113</v>
      </c>
      <c r="D118" s="528"/>
      <c r="E118" s="29"/>
      <c r="F118" s="419" t="s">
        <v>415</v>
      </c>
    </row>
    <row r="119" spans="1:6" s="13" customFormat="1" x14ac:dyDescent="0.25">
      <c r="A119" s="525"/>
      <c r="B119" s="526"/>
      <c r="C119" s="527" t="s">
        <v>114</v>
      </c>
      <c r="D119" s="528"/>
      <c r="E119" s="29"/>
      <c r="F119" s="419" t="s">
        <v>475</v>
      </c>
    </row>
    <row r="120" spans="1:6" s="13" customFormat="1" ht="13.5" thickBot="1" x14ac:dyDescent="0.3">
      <c r="A120" s="518"/>
      <c r="B120" s="520"/>
      <c r="C120" s="515" t="s">
        <v>115</v>
      </c>
      <c r="D120" s="516"/>
      <c r="E120" s="29"/>
      <c r="F120" s="343" t="s">
        <v>415</v>
      </c>
    </row>
    <row r="121" spans="1:6" s="13" customFormat="1" ht="144.6" customHeight="1" thickBot="1" x14ac:dyDescent="0.3">
      <c r="A121" s="51" t="s">
        <v>86</v>
      </c>
      <c r="B121" s="17" t="s">
        <v>143</v>
      </c>
      <c r="C121" s="543" t="s">
        <v>104</v>
      </c>
      <c r="D121" s="544"/>
      <c r="E121" s="29"/>
      <c r="F121" s="367" t="s">
        <v>486</v>
      </c>
    </row>
    <row r="122" spans="1:6" ht="168.95" customHeight="1" thickBot="1" x14ac:dyDescent="0.25">
      <c r="A122" s="47" t="s">
        <v>85</v>
      </c>
      <c r="B122" s="275" t="s">
        <v>170</v>
      </c>
      <c r="C122" s="543" t="s">
        <v>104</v>
      </c>
      <c r="D122" s="544"/>
      <c r="E122" s="29"/>
      <c r="F122" s="373" t="s">
        <v>477</v>
      </c>
    </row>
    <row r="123" spans="1:6" x14ac:dyDescent="0.2">
      <c r="A123" s="517" t="s">
        <v>13</v>
      </c>
      <c r="B123" s="519" t="s">
        <v>98</v>
      </c>
      <c r="C123" s="521" t="s">
        <v>30</v>
      </c>
      <c r="D123" s="522"/>
      <c r="E123" s="29"/>
      <c r="F123" s="367" t="s">
        <v>358</v>
      </c>
    </row>
    <row r="124" spans="1:6" ht="30.6" customHeight="1" thickBot="1" x14ac:dyDescent="0.25">
      <c r="A124" s="518"/>
      <c r="B124" s="520"/>
      <c r="C124" s="515" t="s">
        <v>109</v>
      </c>
      <c r="D124" s="516"/>
      <c r="E124" s="29"/>
      <c r="F124" s="343" t="s">
        <v>359</v>
      </c>
    </row>
    <row r="125" spans="1:6" ht="66" customHeight="1" thickBot="1" x14ac:dyDescent="0.25">
      <c r="A125" s="47" t="s">
        <v>37</v>
      </c>
      <c r="B125" s="25" t="s">
        <v>135</v>
      </c>
      <c r="C125" s="571"/>
      <c r="D125" s="572"/>
      <c r="E125" s="259"/>
      <c r="F125" s="373" t="s">
        <v>375</v>
      </c>
    </row>
    <row r="126" spans="1:6" ht="42" customHeight="1" thickBot="1" x14ac:dyDescent="0.25">
      <c r="A126" s="47" t="s">
        <v>38</v>
      </c>
      <c r="B126" s="25" t="s">
        <v>87</v>
      </c>
      <c r="C126" s="571"/>
      <c r="D126" s="572"/>
      <c r="E126" s="259"/>
      <c r="F126" s="373"/>
    </row>
    <row r="127" spans="1:6" ht="18.600000000000001" customHeight="1" thickBot="1" x14ac:dyDescent="0.25">
      <c r="A127" s="47" t="s">
        <v>201</v>
      </c>
      <c r="B127" s="25" t="s">
        <v>200</v>
      </c>
      <c r="C127" s="543"/>
      <c r="D127" s="544"/>
      <c r="E127" s="29"/>
      <c r="F127" s="373"/>
    </row>
    <row r="128" spans="1:6" ht="28.5" customHeight="1" thickBot="1" x14ac:dyDescent="0.25">
      <c r="A128" s="47" t="s">
        <v>39</v>
      </c>
      <c r="B128" s="25" t="s">
        <v>106</v>
      </c>
      <c r="C128" s="543" t="s">
        <v>105</v>
      </c>
      <c r="D128" s="544"/>
      <c r="E128" s="29"/>
      <c r="F128" s="373" t="s">
        <v>323</v>
      </c>
    </row>
    <row r="129" spans="1:6" x14ac:dyDescent="0.2">
      <c r="A129" s="517" t="s">
        <v>88</v>
      </c>
      <c r="B129" s="519" t="s">
        <v>148</v>
      </c>
      <c r="C129" s="521" t="s">
        <v>100</v>
      </c>
      <c r="D129" s="522"/>
      <c r="E129" s="29"/>
      <c r="F129" s="367" t="s">
        <v>420</v>
      </c>
    </row>
    <row r="130" spans="1:6" ht="108" customHeight="1" thickBot="1" x14ac:dyDescent="0.25">
      <c r="A130" s="518"/>
      <c r="B130" s="520"/>
      <c r="C130" s="515" t="s">
        <v>110</v>
      </c>
      <c r="D130" s="516"/>
      <c r="E130" s="29"/>
      <c r="F130" s="424" t="s">
        <v>435</v>
      </c>
    </row>
    <row r="131" spans="1:6" ht="26.25" thickBot="1" x14ac:dyDescent="0.25">
      <c r="A131" s="47" t="s">
        <v>40</v>
      </c>
      <c r="B131" s="25" t="s">
        <v>137</v>
      </c>
      <c r="C131" s="543" t="s">
        <v>100</v>
      </c>
      <c r="D131" s="544"/>
      <c r="E131" s="29"/>
      <c r="F131" s="343" t="s">
        <v>360</v>
      </c>
    </row>
    <row r="132" spans="1:6" ht="53.45" customHeight="1" thickBot="1" x14ac:dyDescent="0.25">
      <c r="A132" s="47" t="s">
        <v>14</v>
      </c>
      <c r="B132" s="25" t="s">
        <v>138</v>
      </c>
      <c r="C132" s="543" t="s">
        <v>139</v>
      </c>
      <c r="D132" s="544"/>
      <c r="E132" s="29"/>
      <c r="F132" s="373">
        <v>2</v>
      </c>
    </row>
    <row r="133" spans="1:6" ht="68.45" customHeight="1" thickBot="1" x14ac:dyDescent="0.25">
      <c r="A133" s="47" t="s">
        <v>91</v>
      </c>
      <c r="B133" s="25" t="s">
        <v>144</v>
      </c>
      <c r="C133" s="543" t="s">
        <v>100</v>
      </c>
      <c r="D133" s="544"/>
      <c r="E133" s="29"/>
      <c r="F133" s="373" t="s">
        <v>361</v>
      </c>
    </row>
    <row r="134" spans="1:6" ht="70.5" customHeight="1" thickBot="1" x14ac:dyDescent="0.25">
      <c r="A134" s="47" t="s">
        <v>92</v>
      </c>
      <c r="B134" s="25" t="s">
        <v>145</v>
      </c>
      <c r="C134" s="571"/>
      <c r="D134" s="572"/>
      <c r="E134" s="259"/>
      <c r="F134" s="373"/>
    </row>
  </sheetData>
  <sheetProtection algorithmName="SHA-512" hashValue="Dt7CfGKt+Rw/SAmyYo88aaj9YbOo00HRPxtdnKT2PwhcbU+iymrNN+GvK/edqGjSf0HmaZYaqZocBZuY3fKTXg==" saltValue="uPGqWIhjHzUQbxkc9TY3cA=="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29" priority="47">
      <formula>#REF!="NO"</formula>
    </cfRule>
  </conditionalFormatting>
  <conditionalFormatting sqref="C40:D42">
    <cfRule type="expression" dxfId="28" priority="17">
      <formula>$F$2="NO"</formula>
    </cfRule>
  </conditionalFormatting>
  <conditionalFormatting sqref="C26:E39">
    <cfRule type="expression" dxfId="27" priority="48">
      <formula>#REF!="NO"</formula>
    </cfRule>
  </conditionalFormatting>
  <conditionalFormatting sqref="C43:E79">
    <cfRule type="expression" dxfId="26" priority="16">
      <formula>#REF!="NO"</formula>
    </cfRule>
  </conditionalFormatting>
  <conditionalFormatting sqref="C105:F134">
    <cfRule type="expression" dxfId="25" priority="21">
      <formula>#REF!="NO"</formula>
    </cfRule>
  </conditionalFormatting>
  <conditionalFormatting sqref="E40:E42">
    <cfRule type="expression" dxfId="24" priority="20">
      <formula>#REF!="NO"</formula>
    </cfRule>
  </conditionalFormatting>
  <conditionalFormatting sqref="E83:F101">
    <cfRule type="expression" dxfId="23" priority="1">
      <formula>#REF!="NO"</formula>
    </cfRule>
  </conditionalFormatting>
  <conditionalFormatting sqref="F8:F17">
    <cfRule type="expression" dxfId="22" priority="44">
      <formula>#REF!="NO"</formula>
    </cfRule>
  </conditionalFormatting>
  <conditionalFormatting sqref="F21:F22">
    <cfRule type="expression" dxfId="21" priority="45">
      <formula>#REF!="NO"</formula>
    </cfRule>
  </conditionalFormatting>
  <conditionalFormatting sqref="F26:G79">
    <cfRule type="expression" dxfId="20" priority="14">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B00-000002000000}">
      <formula1>0.01</formula1>
      <formula2>100</formula2>
    </dataValidation>
    <dataValidation type="decimal" allowBlank="1" showInputMessage="1" showErrorMessage="1" error="Invalid Entry - Bidder must enter a value that is greater than $0" sqref="F21" xr:uid="{00000000-0002-0000-0B00-000001000000}">
      <formula1>0</formula1>
      <formula2>9E+21</formula2>
    </dataValidation>
    <dataValidation type="decimal" operator="greaterThanOrEqual" allowBlank="1" showInputMessage="1" showErrorMessage="1" error="The Pickup Allowance cannot be a negative number." sqref="F16" xr:uid="{00000000-0002-0000-0B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DD85-6FB9-4885-AF54-36A37AFDE5A4}">
  <sheetPr>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385" customWidth="1"/>
    <col min="7" max="7" width="2.7109375" style="2" customWidth="1"/>
    <col min="8" max="16384" width="9.140625" style="2"/>
  </cols>
  <sheetData>
    <row r="1" spans="1:7" ht="18" customHeight="1" x14ac:dyDescent="0.2">
      <c r="A1" s="300" t="str">
        <f>'A (Item 2-G)'!$A$1</f>
        <v>GROUP 40524-23254, SCHOOL BUSES (Statewide)                                                             Attachment 1 - Specifications and Pricing (Revised October 15, 2026)</v>
      </c>
      <c r="F1" s="301"/>
    </row>
    <row r="2" spans="1:7" s="20" customFormat="1" ht="18" customHeight="1" thickBot="1" x14ac:dyDescent="0.3">
      <c r="A2" s="302" t="str">
        <f>'Attachment 1 - Summary'!B2</f>
        <v>PC69863 Nesco Bus and Truck Sales, Inc.</v>
      </c>
      <c r="B2" s="21"/>
      <c r="C2" s="21"/>
      <c r="D2" s="21"/>
      <c r="E2" s="21"/>
      <c r="F2" s="303"/>
      <c r="G2" s="21"/>
    </row>
    <row r="3" spans="1:7" ht="24" thickBot="1" x14ac:dyDescent="0.25">
      <c r="A3" s="833" t="s">
        <v>321</v>
      </c>
      <c r="B3" s="834"/>
      <c r="C3" s="834"/>
      <c r="D3" s="835"/>
      <c r="E3" s="8"/>
      <c r="F3" s="304"/>
      <c r="G3" s="8"/>
    </row>
    <row r="4" spans="1:7" ht="51" customHeight="1" thickBot="1" x14ac:dyDescent="0.25">
      <c r="A4" s="506" t="s">
        <v>320</v>
      </c>
      <c r="B4" s="507"/>
      <c r="C4" s="507"/>
      <c r="D4" s="508"/>
      <c r="E4" s="8"/>
      <c r="F4" s="304"/>
      <c r="G4" s="8"/>
    </row>
    <row r="5" spans="1:7" s="4" customFormat="1" ht="11.25" customHeight="1" thickBot="1" x14ac:dyDescent="0.3">
      <c r="A5" s="411"/>
      <c r="B5" s="411"/>
      <c r="C5" s="411"/>
      <c r="D5" s="411"/>
      <c r="E5" s="411"/>
      <c r="F5" s="413"/>
    </row>
    <row r="6" spans="1:7" s="7" customFormat="1" ht="16.5" customHeight="1" thickBot="1" x14ac:dyDescent="0.25">
      <c r="A6" s="509" t="s">
        <v>151</v>
      </c>
      <c r="B6" s="510"/>
      <c r="C6" s="510"/>
      <c r="D6" s="511"/>
      <c r="E6" s="31"/>
      <c r="F6" s="473" t="s">
        <v>334</v>
      </c>
      <c r="G6" s="31"/>
    </row>
    <row r="7" spans="1:7" s="4" customFormat="1" ht="15" customHeight="1" thickBot="1" x14ac:dyDescent="0.3">
      <c r="A7" s="37" t="s">
        <v>6</v>
      </c>
      <c r="B7" s="22" t="s">
        <v>165</v>
      </c>
      <c r="C7" s="27"/>
      <c r="D7" s="35"/>
      <c r="E7" s="32"/>
      <c r="F7" s="415" t="s">
        <v>19</v>
      </c>
      <c r="G7" s="32"/>
    </row>
    <row r="8" spans="1:7" ht="65.25" thickTop="1" thickBot="1" x14ac:dyDescent="0.25">
      <c r="A8" s="38" t="s">
        <v>9</v>
      </c>
      <c r="B8" s="500" t="s">
        <v>152</v>
      </c>
      <c r="C8" s="501"/>
      <c r="D8" s="502"/>
      <c r="E8" s="13"/>
      <c r="F8" s="324" t="s">
        <v>487</v>
      </c>
      <c r="G8" s="13"/>
    </row>
    <row r="9" spans="1:7" s="7" customFormat="1" ht="44.25" customHeight="1" thickTop="1" thickBot="1" x14ac:dyDescent="0.25">
      <c r="A9" s="38" t="s">
        <v>136</v>
      </c>
      <c r="B9" s="500" t="s">
        <v>191</v>
      </c>
      <c r="C9" s="501"/>
      <c r="D9" s="502"/>
      <c r="E9" s="13"/>
      <c r="F9" s="324" t="s">
        <v>488</v>
      </c>
      <c r="G9" s="13"/>
    </row>
    <row r="10" spans="1:7" ht="12.75" customHeight="1" thickTop="1" x14ac:dyDescent="0.2">
      <c r="A10" s="39" t="s">
        <v>0</v>
      </c>
      <c r="B10" s="491" t="s">
        <v>154</v>
      </c>
      <c r="C10" s="492"/>
      <c r="D10" s="493"/>
      <c r="E10" s="13"/>
      <c r="F10" s="334" t="s">
        <v>334</v>
      </c>
      <c r="G10" s="13"/>
    </row>
    <row r="11" spans="1:7" x14ac:dyDescent="0.2">
      <c r="A11" s="39" t="s">
        <v>1</v>
      </c>
      <c r="B11" s="491" t="s">
        <v>153</v>
      </c>
      <c r="C11" s="492"/>
      <c r="D11" s="493"/>
      <c r="E11" s="13"/>
      <c r="F11" s="334" t="s">
        <v>489</v>
      </c>
      <c r="G11" s="13"/>
    </row>
    <row r="12" spans="1:7" ht="12.75" customHeight="1" thickBot="1" x14ac:dyDescent="0.25">
      <c r="A12" s="40" t="s">
        <v>2</v>
      </c>
      <c r="B12" s="494" t="s">
        <v>155</v>
      </c>
      <c r="C12" s="495"/>
      <c r="D12" s="496"/>
      <c r="E12" s="13"/>
      <c r="F12" s="336" t="s">
        <v>489</v>
      </c>
      <c r="G12" s="13"/>
    </row>
    <row r="13" spans="1:7" ht="13.5" thickTop="1" x14ac:dyDescent="0.2">
      <c r="A13" s="39" t="s">
        <v>3</v>
      </c>
      <c r="B13" s="491" t="s">
        <v>157</v>
      </c>
      <c r="C13" s="492"/>
      <c r="D13" s="493"/>
      <c r="E13" s="13"/>
      <c r="F13" s="334" t="s">
        <v>334</v>
      </c>
      <c r="G13" s="13"/>
    </row>
    <row r="14" spans="1:7" x14ac:dyDescent="0.2">
      <c r="A14" s="39" t="s">
        <v>4</v>
      </c>
      <c r="B14" s="491" t="s">
        <v>156</v>
      </c>
      <c r="C14" s="492"/>
      <c r="D14" s="493"/>
      <c r="E14" s="13"/>
      <c r="F14" s="334" t="s">
        <v>490</v>
      </c>
      <c r="G14" s="13"/>
    </row>
    <row r="15" spans="1:7" ht="15.75" customHeight="1" thickBot="1" x14ac:dyDescent="0.25">
      <c r="A15" s="41" t="s">
        <v>5</v>
      </c>
      <c r="B15" s="494" t="s">
        <v>158</v>
      </c>
      <c r="C15" s="495"/>
      <c r="D15" s="496"/>
      <c r="E15" s="13"/>
      <c r="F15" s="341" t="s">
        <v>491</v>
      </c>
      <c r="G15" s="13"/>
    </row>
    <row r="16" spans="1:7" ht="29.25" customHeight="1" thickTop="1" x14ac:dyDescent="0.2">
      <c r="A16" s="39" t="s">
        <v>101</v>
      </c>
      <c r="B16" s="497" t="s">
        <v>160</v>
      </c>
      <c r="C16" s="498"/>
      <c r="D16" s="499"/>
      <c r="E16" s="13"/>
      <c r="F16" s="342">
        <v>100</v>
      </c>
      <c r="G16" s="13"/>
    </row>
    <row r="17" spans="1:7" ht="30.75" customHeight="1" thickBot="1" x14ac:dyDescent="0.25">
      <c r="A17" s="41" t="s">
        <v>43</v>
      </c>
      <c r="B17" s="494" t="s">
        <v>159</v>
      </c>
      <c r="C17" s="495"/>
      <c r="D17" s="496"/>
      <c r="E17" s="13"/>
      <c r="F17" s="341" t="s">
        <v>366</v>
      </c>
      <c r="G17" s="13"/>
    </row>
    <row r="18" spans="1:7" s="9" customFormat="1" ht="14.25" thickTop="1" thickBot="1" x14ac:dyDescent="0.25">
      <c r="C18" s="10"/>
      <c r="D18" s="10"/>
      <c r="E18" s="10"/>
      <c r="F18" s="345"/>
      <c r="G18" s="10"/>
    </row>
    <row r="19" spans="1:7" s="11" customFormat="1" ht="16.5" customHeight="1" thickBot="1" x14ac:dyDescent="0.25">
      <c r="A19" s="509" t="s">
        <v>150</v>
      </c>
      <c r="B19" s="510"/>
      <c r="C19" s="510"/>
      <c r="D19" s="511"/>
      <c r="E19" s="31"/>
      <c r="F19" s="473" t="s">
        <v>334</v>
      </c>
      <c r="G19" s="31"/>
    </row>
    <row r="20" spans="1:7" s="4" customFormat="1" ht="15" customHeight="1" thickBot="1" x14ac:dyDescent="0.3">
      <c r="A20" s="52" t="s">
        <v>6</v>
      </c>
      <c r="B20" s="26" t="s">
        <v>165</v>
      </c>
      <c r="C20" s="28"/>
      <c r="D20" s="45"/>
      <c r="E20" s="32"/>
      <c r="F20" s="415" t="s">
        <v>19</v>
      </c>
      <c r="G20" s="32"/>
    </row>
    <row r="21" spans="1:7" ht="56.25" customHeight="1" x14ac:dyDescent="0.2">
      <c r="A21" s="42" t="s">
        <v>42</v>
      </c>
      <c r="B21" s="512" t="s">
        <v>161</v>
      </c>
      <c r="C21" s="513"/>
      <c r="D21" s="514"/>
      <c r="E21" s="13"/>
      <c r="F21" s="416">
        <f>166516.7*('PPI Adj'!D6)</f>
        <v>194324.98890000003</v>
      </c>
      <c r="G21" s="13"/>
    </row>
    <row r="22" spans="1:7" ht="33" customHeight="1" thickBot="1" x14ac:dyDescent="0.25">
      <c r="A22" s="43" t="s">
        <v>41</v>
      </c>
      <c r="B22" s="533" t="s">
        <v>163</v>
      </c>
      <c r="C22" s="534"/>
      <c r="D22" s="535"/>
      <c r="E22" s="1"/>
      <c r="F22" s="354">
        <v>20</v>
      </c>
      <c r="G22" s="1"/>
    </row>
    <row r="23" spans="1:7" ht="13.5" thickBot="1" x14ac:dyDescent="0.25">
      <c r="A23" s="69"/>
      <c r="B23" s="1"/>
      <c r="C23" s="1"/>
      <c r="D23" s="1"/>
      <c r="E23" s="1"/>
      <c r="F23" s="418"/>
      <c r="G23" s="1"/>
    </row>
    <row r="24" spans="1:7" s="7" customFormat="1" ht="15.75" customHeight="1" thickBot="1" x14ac:dyDescent="0.25">
      <c r="A24" s="536" t="s">
        <v>164</v>
      </c>
      <c r="B24" s="537"/>
      <c r="C24" s="537"/>
      <c r="D24" s="538"/>
      <c r="E24" s="33"/>
      <c r="F24" s="473" t="s">
        <v>334</v>
      </c>
      <c r="G24" s="33"/>
    </row>
    <row r="25" spans="1:7" s="3" customFormat="1" ht="15" customHeight="1" thickBot="1" x14ac:dyDescent="0.3">
      <c r="A25" s="52" t="s">
        <v>6</v>
      </c>
      <c r="B25" s="53" t="s">
        <v>7</v>
      </c>
      <c r="C25" s="539" t="s">
        <v>165</v>
      </c>
      <c r="D25" s="540"/>
      <c r="E25" s="34"/>
      <c r="F25" s="415" t="s">
        <v>19</v>
      </c>
      <c r="G25" s="34"/>
    </row>
    <row r="26" spans="1:7" s="13" customFormat="1" ht="65.45" customHeight="1" thickBot="1" x14ac:dyDescent="0.3">
      <c r="A26" s="46" t="s">
        <v>8</v>
      </c>
      <c r="B26" s="25" t="s">
        <v>319</v>
      </c>
      <c r="C26" s="515" t="s">
        <v>118</v>
      </c>
      <c r="D26" s="516"/>
      <c r="E26" s="29"/>
      <c r="F26" s="343">
        <v>33000</v>
      </c>
      <c r="G26" s="29"/>
    </row>
    <row r="27" spans="1:7" s="13" customFormat="1" x14ac:dyDescent="0.25">
      <c r="A27" s="517" t="s">
        <v>21</v>
      </c>
      <c r="B27" s="519" t="s">
        <v>312</v>
      </c>
      <c r="C27" s="521" t="s">
        <v>67</v>
      </c>
      <c r="D27" s="522"/>
      <c r="E27" s="29"/>
      <c r="F27" s="367">
        <v>11</v>
      </c>
      <c r="G27" s="29"/>
    </row>
    <row r="28" spans="1:7" s="13" customFormat="1" ht="13.5" thickBot="1" x14ac:dyDescent="0.3">
      <c r="A28" s="518"/>
      <c r="B28" s="520"/>
      <c r="C28" s="515" t="s">
        <v>68</v>
      </c>
      <c r="D28" s="516"/>
      <c r="E28" s="29"/>
      <c r="F28" s="343">
        <v>66</v>
      </c>
      <c r="G28" s="29"/>
    </row>
    <row r="29" spans="1:7" s="13" customFormat="1" ht="15.6" customHeight="1" thickBot="1" x14ac:dyDescent="0.3">
      <c r="A29" s="47" t="s">
        <v>123</v>
      </c>
      <c r="B29" s="25" t="s">
        <v>108</v>
      </c>
      <c r="C29" s="531"/>
      <c r="D29" s="532"/>
      <c r="E29" s="30"/>
      <c r="F29" s="373"/>
      <c r="G29" s="30"/>
    </row>
    <row r="30" spans="1:7" s="13" customFormat="1" x14ac:dyDescent="0.25">
      <c r="A30" s="517" t="s">
        <v>59</v>
      </c>
      <c r="B30" s="519"/>
      <c r="C30" s="521" t="s">
        <v>58</v>
      </c>
      <c r="D30" s="522"/>
      <c r="E30" s="29"/>
      <c r="F30" s="367">
        <v>209</v>
      </c>
      <c r="G30" s="29"/>
    </row>
    <row r="31" spans="1:7" s="13" customFormat="1" x14ac:dyDescent="0.25">
      <c r="A31" s="525"/>
      <c r="B31" s="526"/>
      <c r="C31" s="527" t="s">
        <v>57</v>
      </c>
      <c r="D31" s="528"/>
      <c r="E31" s="29"/>
      <c r="F31" s="334">
        <v>407</v>
      </c>
      <c r="G31" s="29"/>
    </row>
    <row r="32" spans="1:7" s="13" customFormat="1" x14ac:dyDescent="0.25">
      <c r="A32" s="525"/>
      <c r="B32" s="526"/>
      <c r="C32" s="527" t="s">
        <v>69</v>
      </c>
      <c r="D32" s="528"/>
      <c r="E32" s="29"/>
      <c r="F32" s="334">
        <v>90</v>
      </c>
      <c r="G32" s="29"/>
    </row>
    <row r="33" spans="1:7" s="13" customFormat="1" x14ac:dyDescent="0.25">
      <c r="A33" s="525"/>
      <c r="B33" s="526"/>
      <c r="C33" s="529" t="s">
        <v>70</v>
      </c>
      <c r="D33" s="530"/>
      <c r="E33" s="29"/>
      <c r="F33" s="334">
        <v>78</v>
      </c>
      <c r="G33" s="29"/>
    </row>
    <row r="34" spans="1:7" s="13" customFormat="1" ht="13.5" thickBot="1" x14ac:dyDescent="0.3">
      <c r="A34" s="518"/>
      <c r="B34" s="520"/>
      <c r="C34" s="515" t="s">
        <v>111</v>
      </c>
      <c r="D34" s="516"/>
      <c r="E34" s="29"/>
      <c r="F34" s="343">
        <v>303</v>
      </c>
      <c r="G34" s="29"/>
    </row>
    <row r="35" spans="1:7" s="13" customFormat="1" x14ac:dyDescent="0.25">
      <c r="A35" s="517" t="s">
        <v>11</v>
      </c>
      <c r="B35" s="519"/>
      <c r="C35" s="521" t="s">
        <v>24</v>
      </c>
      <c r="D35" s="522"/>
      <c r="E35" s="29"/>
      <c r="F35" s="367">
        <v>13200</v>
      </c>
      <c r="G35" s="29"/>
    </row>
    <row r="36" spans="1:7" s="13" customFormat="1" ht="13.5" thickBot="1" x14ac:dyDescent="0.3">
      <c r="A36" s="518"/>
      <c r="B36" s="520"/>
      <c r="C36" s="515" t="s">
        <v>22</v>
      </c>
      <c r="D36" s="516"/>
      <c r="E36" s="29"/>
      <c r="F36" s="343">
        <v>13200</v>
      </c>
      <c r="G36" s="29"/>
    </row>
    <row r="37" spans="1:7" s="13" customFormat="1" x14ac:dyDescent="0.25">
      <c r="A37" s="517" t="s">
        <v>16</v>
      </c>
      <c r="B37" s="519"/>
      <c r="C37" s="521" t="s">
        <v>24</v>
      </c>
      <c r="D37" s="522"/>
      <c r="E37" s="29"/>
      <c r="F37" s="367">
        <v>23000</v>
      </c>
      <c r="G37" s="29"/>
    </row>
    <row r="38" spans="1:7" s="13" customFormat="1" ht="13.5" thickBot="1" x14ac:dyDescent="0.3">
      <c r="A38" s="518"/>
      <c r="B38" s="520"/>
      <c r="C38" s="523" t="s">
        <v>23</v>
      </c>
      <c r="D38" s="524"/>
      <c r="E38" s="29"/>
      <c r="F38" s="343">
        <v>23000</v>
      </c>
      <c r="G38" s="29"/>
    </row>
    <row r="39" spans="1:7" s="13" customFormat="1" ht="17.100000000000001" customHeight="1" thickBot="1" x14ac:dyDescent="0.3">
      <c r="A39" s="47" t="s">
        <v>52</v>
      </c>
      <c r="B39" s="25" t="s">
        <v>53</v>
      </c>
      <c r="C39" s="531"/>
      <c r="D39" s="532"/>
      <c r="E39" s="30"/>
      <c r="F39" s="373"/>
      <c r="G39" s="30"/>
    </row>
    <row r="40" spans="1:7" s="13" customFormat="1" x14ac:dyDescent="0.25">
      <c r="A40" s="517" t="s">
        <v>219</v>
      </c>
      <c r="B40" s="519" t="s">
        <v>222</v>
      </c>
      <c r="C40" s="521" t="s">
        <v>221</v>
      </c>
      <c r="D40" s="522"/>
      <c r="E40" s="29"/>
      <c r="F40" s="367" t="s">
        <v>464</v>
      </c>
      <c r="G40" s="29"/>
    </row>
    <row r="41" spans="1:7" s="13" customFormat="1" ht="14.45" customHeight="1" x14ac:dyDescent="0.25">
      <c r="A41" s="525"/>
      <c r="B41" s="526"/>
      <c r="C41" s="527" t="s">
        <v>220</v>
      </c>
      <c r="D41" s="528"/>
      <c r="E41" s="29"/>
      <c r="F41" s="334" t="s">
        <v>425</v>
      </c>
      <c r="G41" s="29"/>
    </row>
    <row r="42" spans="1:7" s="13" customFormat="1" ht="70.5" customHeight="1" thickBot="1" x14ac:dyDescent="0.3">
      <c r="A42" s="518"/>
      <c r="B42" s="526"/>
      <c r="C42" s="523"/>
      <c r="D42" s="524"/>
      <c r="E42" s="29"/>
      <c r="F42" s="329"/>
      <c r="G42" s="29"/>
    </row>
    <row r="43" spans="1:7" s="13" customFormat="1" ht="30" customHeight="1" thickBot="1" x14ac:dyDescent="0.3">
      <c r="A43" s="47" t="s">
        <v>219</v>
      </c>
      <c r="B43" s="25" t="s">
        <v>218</v>
      </c>
      <c r="C43" s="531"/>
      <c r="D43" s="532"/>
      <c r="E43" s="30"/>
      <c r="F43" s="373"/>
      <c r="G43" s="30"/>
    </row>
    <row r="44" spans="1:7" s="13" customFormat="1" ht="13.5" thickBot="1" x14ac:dyDescent="0.3">
      <c r="A44" s="541" t="s">
        <v>12</v>
      </c>
      <c r="B44" s="542" t="s">
        <v>142</v>
      </c>
      <c r="C44" s="521" t="s">
        <v>174</v>
      </c>
      <c r="D44" s="522"/>
      <c r="E44" s="29"/>
      <c r="F44" s="367" t="s">
        <v>413</v>
      </c>
      <c r="G44" s="29"/>
    </row>
    <row r="45" spans="1:7" s="13" customFormat="1" ht="13.5" thickBot="1" x14ac:dyDescent="0.3">
      <c r="A45" s="541"/>
      <c r="B45" s="542"/>
      <c r="C45" s="527" t="s">
        <v>175</v>
      </c>
      <c r="D45" s="528"/>
      <c r="E45" s="29"/>
      <c r="F45" s="334">
        <v>6610</v>
      </c>
      <c r="G45" s="29"/>
    </row>
    <row r="46" spans="1:7" s="13" customFormat="1" ht="13.5" thickBot="1" x14ac:dyDescent="0.3">
      <c r="A46" s="541"/>
      <c r="B46" s="542"/>
      <c r="C46" s="527" t="s">
        <v>176</v>
      </c>
      <c r="D46" s="528"/>
      <c r="E46" s="29"/>
      <c r="F46" s="419" t="s">
        <v>413</v>
      </c>
      <c r="G46" s="29"/>
    </row>
    <row r="47" spans="1:7" s="13" customFormat="1" ht="13.5" thickBot="1" x14ac:dyDescent="0.3">
      <c r="A47" s="541"/>
      <c r="B47" s="542"/>
      <c r="C47" s="527" t="s">
        <v>177</v>
      </c>
      <c r="D47" s="528"/>
      <c r="E47" s="29"/>
      <c r="F47" s="334">
        <v>6005</v>
      </c>
      <c r="G47" s="29"/>
    </row>
    <row r="48" spans="1:7" s="13" customFormat="1" ht="13.5" thickBot="1" x14ac:dyDescent="0.3">
      <c r="A48" s="541"/>
      <c r="B48" s="542"/>
      <c r="C48" s="527" t="s">
        <v>112</v>
      </c>
      <c r="D48" s="528"/>
      <c r="E48" s="29"/>
      <c r="F48" s="334" t="s">
        <v>483</v>
      </c>
      <c r="G48" s="29"/>
    </row>
    <row r="49" spans="1:7" s="13" customFormat="1" ht="13.5" thickBot="1" x14ac:dyDescent="0.3">
      <c r="A49" s="541"/>
      <c r="B49" s="542"/>
      <c r="C49" s="527" t="s">
        <v>113</v>
      </c>
      <c r="D49" s="528"/>
      <c r="E49" s="29"/>
      <c r="F49" s="334" t="s">
        <v>484</v>
      </c>
      <c r="G49" s="29"/>
    </row>
    <row r="50" spans="1:7" s="13" customFormat="1" ht="13.5" thickBot="1" x14ac:dyDescent="0.3">
      <c r="A50" s="541"/>
      <c r="B50" s="542"/>
      <c r="C50" s="529" t="s">
        <v>114</v>
      </c>
      <c r="D50" s="530"/>
      <c r="E50" s="29"/>
      <c r="F50" s="334" t="s">
        <v>483</v>
      </c>
      <c r="G50" s="29"/>
    </row>
    <row r="51" spans="1:7" s="13" customFormat="1" ht="13.5" thickBot="1" x14ac:dyDescent="0.3">
      <c r="A51" s="541"/>
      <c r="B51" s="542"/>
      <c r="C51" s="515" t="s">
        <v>115</v>
      </c>
      <c r="D51" s="516"/>
      <c r="E51" s="29"/>
      <c r="F51" s="343" t="s">
        <v>484</v>
      </c>
      <c r="G51" s="29"/>
    </row>
    <row r="52" spans="1:7" s="13" customFormat="1" x14ac:dyDescent="0.25">
      <c r="A52" s="517" t="s">
        <v>10</v>
      </c>
      <c r="B52" s="519" t="s">
        <v>217</v>
      </c>
      <c r="C52" s="521" t="s">
        <v>116</v>
      </c>
      <c r="D52" s="522"/>
      <c r="E52" s="29"/>
      <c r="F52" s="367">
        <v>5</v>
      </c>
      <c r="G52" s="29"/>
    </row>
    <row r="53" spans="1:7" s="13" customFormat="1" x14ac:dyDescent="0.25">
      <c r="A53" s="525"/>
      <c r="B53" s="526"/>
      <c r="C53" s="527" t="s">
        <v>117</v>
      </c>
      <c r="D53" s="528"/>
      <c r="E53" s="29"/>
      <c r="F53" s="334" t="s">
        <v>341</v>
      </c>
      <c r="G53" s="29"/>
    </row>
    <row r="54" spans="1:7" s="13" customFormat="1" ht="26.25" thickBot="1" x14ac:dyDescent="0.3">
      <c r="A54" s="525"/>
      <c r="B54" s="526"/>
      <c r="C54" s="523" t="s">
        <v>71</v>
      </c>
      <c r="D54" s="524"/>
      <c r="E54" s="29"/>
      <c r="F54" s="329" t="s">
        <v>467</v>
      </c>
      <c r="G54" s="29"/>
    </row>
    <row r="55" spans="1:7" s="13" customFormat="1" ht="77.099999999999994" customHeight="1" thickBot="1" x14ac:dyDescent="0.3">
      <c r="A55" s="48" t="s">
        <v>9</v>
      </c>
      <c r="B55" s="23" t="s">
        <v>254</v>
      </c>
      <c r="C55" s="529"/>
      <c r="D55" s="530"/>
      <c r="E55" s="29"/>
      <c r="F55" s="367"/>
      <c r="G55" s="29"/>
    </row>
    <row r="56" spans="1:7" s="13" customFormat="1" ht="27.95" customHeight="1" thickBot="1" x14ac:dyDescent="0.3">
      <c r="A56" s="47" t="s">
        <v>253</v>
      </c>
      <c r="B56" s="23" t="s">
        <v>252</v>
      </c>
      <c r="C56" s="531"/>
      <c r="D56" s="532"/>
      <c r="E56" s="30"/>
      <c r="F56" s="384"/>
      <c r="G56" s="30"/>
    </row>
    <row r="57" spans="1:7" s="13" customFormat="1" ht="25.5" x14ac:dyDescent="0.25">
      <c r="A57" s="517" t="s">
        <v>25</v>
      </c>
      <c r="B57" s="519" t="s">
        <v>93</v>
      </c>
      <c r="C57" s="521" t="s">
        <v>72</v>
      </c>
      <c r="D57" s="522"/>
      <c r="E57" s="29"/>
      <c r="F57" s="367" t="s">
        <v>492</v>
      </c>
      <c r="G57" s="29"/>
    </row>
    <row r="58" spans="1:7" s="13" customFormat="1" ht="57.6" customHeight="1" thickBot="1" x14ac:dyDescent="0.3">
      <c r="A58" s="518"/>
      <c r="B58" s="520"/>
      <c r="C58" s="515" t="s">
        <v>73</v>
      </c>
      <c r="D58" s="516"/>
      <c r="E58" s="29"/>
      <c r="F58" s="343">
        <v>200</v>
      </c>
      <c r="G58" s="29"/>
    </row>
    <row r="59" spans="1:7" s="13" customFormat="1" x14ac:dyDescent="0.25">
      <c r="A59" s="517" t="s">
        <v>26</v>
      </c>
      <c r="B59" s="519" t="s">
        <v>251</v>
      </c>
      <c r="C59" s="521" t="s">
        <v>74</v>
      </c>
      <c r="D59" s="522"/>
      <c r="E59" s="29"/>
      <c r="F59" s="367" t="s">
        <v>493</v>
      </c>
      <c r="G59" s="29"/>
    </row>
    <row r="60" spans="1:7" s="13" customFormat="1" x14ac:dyDescent="0.25">
      <c r="A60" s="525"/>
      <c r="B60" s="526"/>
      <c r="C60" s="527" t="s">
        <v>75</v>
      </c>
      <c r="D60" s="528"/>
      <c r="E60" s="29"/>
      <c r="F60" s="334">
        <v>3</v>
      </c>
      <c r="G60" s="29"/>
    </row>
    <row r="61" spans="1:7" s="13" customFormat="1" ht="32.25" customHeight="1" thickBot="1" x14ac:dyDescent="0.3">
      <c r="A61" s="518"/>
      <c r="B61" s="520"/>
      <c r="C61" s="515" t="s">
        <v>250</v>
      </c>
      <c r="D61" s="516"/>
      <c r="E61" s="29"/>
      <c r="F61" s="343" t="s">
        <v>494</v>
      </c>
      <c r="G61" s="29"/>
    </row>
    <row r="62" spans="1:7" s="13" customFormat="1" ht="15.95" customHeight="1" thickBot="1" x14ac:dyDescent="0.3">
      <c r="A62" s="47" t="s">
        <v>44</v>
      </c>
      <c r="B62" s="25" t="s">
        <v>45</v>
      </c>
      <c r="C62" s="531"/>
      <c r="D62" s="532"/>
      <c r="E62" s="30"/>
      <c r="F62" s="384"/>
      <c r="G62" s="30"/>
    </row>
    <row r="63" spans="1:7" s="13" customFormat="1" ht="28.5" customHeight="1" thickBot="1" x14ac:dyDescent="0.3">
      <c r="A63" s="47" t="s">
        <v>44</v>
      </c>
      <c r="B63" s="25" t="s">
        <v>63</v>
      </c>
      <c r="C63" s="531"/>
      <c r="D63" s="532"/>
      <c r="E63" s="30"/>
      <c r="F63" s="384"/>
      <c r="G63" s="30"/>
    </row>
    <row r="64" spans="1:7" s="13" customFormat="1" ht="27.95" customHeight="1" thickBot="1" x14ac:dyDescent="0.3">
      <c r="A64" s="47" t="s">
        <v>44</v>
      </c>
      <c r="B64" s="25" t="s">
        <v>64</v>
      </c>
      <c r="C64" s="531"/>
      <c r="D64" s="532"/>
      <c r="E64" s="30"/>
      <c r="F64" s="384"/>
      <c r="G64" s="30"/>
    </row>
    <row r="65" spans="1:7" s="13" customFormat="1" ht="29.45" customHeight="1" thickBot="1" x14ac:dyDescent="0.3">
      <c r="A65" s="47" t="s">
        <v>50</v>
      </c>
      <c r="B65" s="25" t="s">
        <v>216</v>
      </c>
      <c r="C65" s="531"/>
      <c r="D65" s="532"/>
      <c r="E65" s="30"/>
      <c r="F65" s="384"/>
      <c r="G65" s="30"/>
    </row>
    <row r="66" spans="1:7" s="13" customFormat="1" ht="15.6" customHeight="1" thickBot="1" x14ac:dyDescent="0.3">
      <c r="A66" s="47" t="s">
        <v>27</v>
      </c>
      <c r="B66" s="25" t="s">
        <v>215</v>
      </c>
      <c r="C66" s="543" t="s">
        <v>77</v>
      </c>
      <c r="D66" s="544"/>
      <c r="E66" s="29"/>
      <c r="F66" s="373" t="s">
        <v>495</v>
      </c>
      <c r="G66" s="29"/>
    </row>
    <row r="67" spans="1:7" s="13" customFormat="1" ht="51.75" thickBot="1" x14ac:dyDescent="0.3">
      <c r="A67" s="47" t="s">
        <v>214</v>
      </c>
      <c r="B67" s="25" t="s">
        <v>213</v>
      </c>
      <c r="C67" s="543"/>
      <c r="D67" s="544"/>
      <c r="E67" s="29"/>
      <c r="F67" s="373"/>
      <c r="G67" s="29"/>
    </row>
    <row r="68" spans="1:7" s="13" customFormat="1" ht="15" customHeight="1" x14ac:dyDescent="0.25">
      <c r="A68" s="517" t="s">
        <v>28</v>
      </c>
      <c r="B68" s="519" t="s">
        <v>264</v>
      </c>
      <c r="C68" s="749" t="s">
        <v>248</v>
      </c>
      <c r="D68" s="522"/>
      <c r="E68" s="29"/>
      <c r="F68" s="367">
        <v>60</v>
      </c>
      <c r="G68" s="29"/>
    </row>
    <row r="69" spans="1:7" s="13" customFormat="1" ht="29.25" customHeight="1" thickBot="1" x14ac:dyDescent="0.3">
      <c r="A69" s="518"/>
      <c r="B69" s="520"/>
      <c r="C69" s="584" t="s">
        <v>247</v>
      </c>
      <c r="D69" s="516"/>
      <c r="E69" s="29"/>
      <c r="F69" s="343" t="s">
        <v>496</v>
      </c>
      <c r="G69" s="29"/>
    </row>
    <row r="70" spans="1:7" s="13" customFormat="1" ht="41.1" customHeight="1" thickBot="1" x14ac:dyDescent="0.3">
      <c r="A70" s="47" t="s">
        <v>51</v>
      </c>
      <c r="B70" s="25" t="s">
        <v>212</v>
      </c>
      <c r="C70" s="531"/>
      <c r="D70" s="532"/>
      <c r="E70" s="30"/>
      <c r="F70" s="373"/>
      <c r="G70" s="30"/>
    </row>
    <row r="71" spans="1:7" s="13" customFormat="1" ht="40.5" customHeight="1" thickBot="1" x14ac:dyDescent="0.3">
      <c r="A71" s="47" t="s">
        <v>54</v>
      </c>
      <c r="B71" s="25" t="s">
        <v>80</v>
      </c>
      <c r="C71" s="531"/>
      <c r="D71" s="532"/>
      <c r="E71" s="30"/>
      <c r="F71" s="373"/>
      <c r="G71" s="30"/>
    </row>
    <row r="72" spans="1:7" s="13" customFormat="1" ht="78" customHeight="1" thickBot="1" x14ac:dyDescent="0.3">
      <c r="A72" s="47" t="s">
        <v>29</v>
      </c>
      <c r="B72" s="25" t="s">
        <v>211</v>
      </c>
      <c r="C72" s="531"/>
      <c r="D72" s="532"/>
      <c r="E72" s="30"/>
      <c r="F72" s="373"/>
      <c r="G72" s="30"/>
    </row>
    <row r="73" spans="1:7" s="13" customFormat="1" ht="53.45" customHeight="1" thickBot="1" x14ac:dyDescent="0.3">
      <c r="A73" s="47" t="s">
        <v>31</v>
      </c>
      <c r="B73" s="25" t="s">
        <v>210</v>
      </c>
      <c r="C73" s="543" t="s">
        <v>30</v>
      </c>
      <c r="D73" s="544"/>
      <c r="E73" s="29"/>
      <c r="F73" s="373" t="s">
        <v>408</v>
      </c>
      <c r="G73" s="29"/>
    </row>
    <row r="74" spans="1:7" s="13" customFormat="1" ht="28.5" customHeight="1" thickBot="1" x14ac:dyDescent="0.3">
      <c r="A74" s="47" t="s">
        <v>55</v>
      </c>
      <c r="B74" s="25" t="s">
        <v>95</v>
      </c>
      <c r="C74" s="531"/>
      <c r="D74" s="532"/>
      <c r="E74" s="30"/>
      <c r="F74" s="373"/>
      <c r="G74" s="30"/>
    </row>
    <row r="75" spans="1:7" s="13" customFormat="1" ht="26.25" thickBot="1" x14ac:dyDescent="0.3">
      <c r="A75" s="47" t="s">
        <v>32</v>
      </c>
      <c r="B75" s="25" t="s">
        <v>96</v>
      </c>
      <c r="C75" s="543" t="s">
        <v>30</v>
      </c>
      <c r="D75" s="544"/>
      <c r="E75" s="29"/>
      <c r="F75" s="373" t="s">
        <v>471</v>
      </c>
      <c r="G75" s="29"/>
    </row>
    <row r="76" spans="1:7" s="13" customFormat="1" ht="39.6" customHeight="1" thickBot="1" x14ac:dyDescent="0.3">
      <c r="A76" s="47" t="s">
        <v>56</v>
      </c>
      <c r="B76" s="25" t="s">
        <v>167</v>
      </c>
      <c r="C76" s="531"/>
      <c r="D76" s="532"/>
      <c r="E76" s="30"/>
      <c r="F76" s="373"/>
      <c r="G76" s="30"/>
    </row>
    <row r="77" spans="1:7" s="13" customFormat="1" ht="27" customHeight="1" thickBot="1" x14ac:dyDescent="0.3">
      <c r="A77" s="47" t="s">
        <v>48</v>
      </c>
      <c r="B77" s="25" t="s">
        <v>47</v>
      </c>
      <c r="C77" s="531"/>
      <c r="D77" s="532"/>
      <c r="E77" s="30"/>
      <c r="F77" s="373"/>
      <c r="G77" s="30"/>
    </row>
    <row r="78" spans="1:7" s="13" customFormat="1" ht="27.6" customHeight="1" thickBot="1" x14ac:dyDescent="0.3">
      <c r="A78" s="47" t="s">
        <v>49</v>
      </c>
      <c r="B78" s="25" t="s">
        <v>103</v>
      </c>
      <c r="C78" s="531"/>
      <c r="D78" s="532"/>
      <c r="E78" s="30"/>
      <c r="F78" s="373"/>
      <c r="G78" s="30"/>
    </row>
    <row r="79" spans="1:7" s="13" customFormat="1" ht="29.45" customHeight="1" thickBot="1" x14ac:dyDescent="0.3">
      <c r="A79" s="47" t="s">
        <v>46</v>
      </c>
      <c r="B79" s="25" t="s">
        <v>318</v>
      </c>
      <c r="C79" s="531"/>
      <c r="D79" s="532"/>
      <c r="E79" s="30"/>
      <c r="F79" s="373"/>
      <c r="G79" s="30"/>
    </row>
    <row r="80" spans="1:7" ht="13.5" thickBot="1" x14ac:dyDescent="0.25"/>
    <row r="81" spans="1:6" s="16" customFormat="1" ht="18" customHeight="1" thickBot="1" x14ac:dyDescent="0.3">
      <c r="A81" s="536" t="s">
        <v>168</v>
      </c>
      <c r="B81" s="537"/>
      <c r="C81" s="537"/>
      <c r="D81" s="538"/>
      <c r="E81" s="33"/>
      <c r="F81" s="473" t="s">
        <v>334</v>
      </c>
    </row>
    <row r="82" spans="1:6" s="3" customFormat="1" ht="15" customHeight="1" thickBot="1" x14ac:dyDescent="0.3">
      <c r="A82" s="545" t="s">
        <v>169</v>
      </c>
      <c r="B82" s="546"/>
      <c r="C82" s="546"/>
      <c r="D82" s="547"/>
      <c r="E82" s="34"/>
      <c r="F82" s="415" t="s">
        <v>19</v>
      </c>
    </row>
    <row r="83" spans="1:6" s="13" customFormat="1" ht="12.75" customHeight="1" x14ac:dyDescent="0.25">
      <c r="A83" s="548" t="s">
        <v>83</v>
      </c>
      <c r="B83" s="549"/>
      <c r="C83" s="549"/>
      <c r="D83" s="550"/>
      <c r="E83" s="30"/>
      <c r="F83" s="420">
        <f>-1010*('PPI Adj'!D6)</f>
        <v>-1178.67</v>
      </c>
    </row>
    <row r="84" spans="1:6" s="13" customFormat="1" ht="12.75" customHeight="1" x14ac:dyDescent="0.25">
      <c r="A84" s="551" t="s">
        <v>34</v>
      </c>
      <c r="B84" s="552"/>
      <c r="C84" s="552"/>
      <c r="D84" s="553"/>
      <c r="E84" s="29"/>
      <c r="F84" s="421">
        <f>678*('PPI Adj'!D6)</f>
        <v>791.226</v>
      </c>
    </row>
    <row r="85" spans="1:6" s="13" customFormat="1" x14ac:dyDescent="0.25">
      <c r="A85" s="551" t="s">
        <v>35</v>
      </c>
      <c r="B85" s="552"/>
      <c r="C85" s="552"/>
      <c r="D85" s="553"/>
      <c r="E85" s="30"/>
      <c r="F85" s="421">
        <f>457*('PPI Adj'!D6)</f>
        <v>533.31900000000007</v>
      </c>
    </row>
    <row r="86" spans="1:6" s="13" customFormat="1" x14ac:dyDescent="0.25">
      <c r="A86" s="551" t="s">
        <v>36</v>
      </c>
      <c r="B86" s="552"/>
      <c r="C86" s="552"/>
      <c r="D86" s="553"/>
      <c r="E86" s="29"/>
      <c r="F86" s="421">
        <f>738*('PPI Adj'!D6)</f>
        <v>861.24599999999998</v>
      </c>
    </row>
    <row r="87" spans="1:6" s="13" customFormat="1" x14ac:dyDescent="0.25">
      <c r="A87" s="551" t="s">
        <v>60</v>
      </c>
      <c r="B87" s="552"/>
      <c r="C87" s="552"/>
      <c r="D87" s="553"/>
      <c r="E87" s="29"/>
      <c r="F87" s="421">
        <f>95*('PPI Adj'!D6)</f>
        <v>110.86500000000001</v>
      </c>
    </row>
    <row r="88" spans="1:6" s="13" customFormat="1" x14ac:dyDescent="0.25">
      <c r="A88" s="551" t="s">
        <v>61</v>
      </c>
      <c r="B88" s="552"/>
      <c r="C88" s="552"/>
      <c r="D88" s="553"/>
      <c r="E88" s="29"/>
      <c r="F88" s="421">
        <f>386*('PPI Adj'!D6)</f>
        <v>450.46199999999999</v>
      </c>
    </row>
    <row r="89" spans="1:6" s="13" customFormat="1" ht="12.75" customHeight="1" x14ac:dyDescent="0.25">
      <c r="A89" s="551" t="s">
        <v>86</v>
      </c>
      <c r="B89" s="552"/>
      <c r="C89" s="552"/>
      <c r="D89" s="553"/>
      <c r="E89" s="29"/>
      <c r="F89" s="421">
        <f>856*('PPI Adj'!D6)</f>
        <v>998.952</v>
      </c>
    </row>
    <row r="90" spans="1:6" ht="12.75" customHeight="1" x14ac:dyDescent="0.2">
      <c r="A90" s="551" t="s">
        <v>85</v>
      </c>
      <c r="B90" s="552"/>
      <c r="C90" s="552"/>
      <c r="D90" s="553"/>
      <c r="E90" s="29"/>
      <c r="F90" s="421">
        <f>7550.4*('PPI Adj'!D6)</f>
        <v>8811.3168000000005</v>
      </c>
    </row>
    <row r="91" spans="1:6" x14ac:dyDescent="0.2">
      <c r="A91" s="551" t="s">
        <v>13</v>
      </c>
      <c r="B91" s="552"/>
      <c r="C91" s="552"/>
      <c r="D91" s="553"/>
      <c r="E91" s="29"/>
      <c r="F91" s="421">
        <f>10801*('PPI Adj'!D6)</f>
        <v>12604.767</v>
      </c>
    </row>
    <row r="92" spans="1:6" ht="12.75" customHeight="1" x14ac:dyDescent="0.2">
      <c r="A92" s="551" t="s">
        <v>37</v>
      </c>
      <c r="B92" s="552"/>
      <c r="C92" s="552"/>
      <c r="D92" s="553"/>
      <c r="E92" s="30"/>
      <c r="F92" s="421">
        <f>1000*('PPI Adj'!D6)</f>
        <v>1167</v>
      </c>
    </row>
    <row r="93" spans="1:6" x14ac:dyDescent="0.2">
      <c r="A93" s="551" t="s">
        <v>38</v>
      </c>
      <c r="B93" s="552"/>
      <c r="C93" s="552"/>
      <c r="D93" s="553"/>
      <c r="E93" s="30"/>
      <c r="F93" s="421">
        <f>787*('PPI Adj'!D6)</f>
        <v>918.42899999999997</v>
      </c>
    </row>
    <row r="94" spans="1:6" x14ac:dyDescent="0.2">
      <c r="A94" s="551" t="s">
        <v>201</v>
      </c>
      <c r="B94" s="552"/>
      <c r="C94" s="552"/>
      <c r="D94" s="553"/>
      <c r="E94" s="30"/>
      <c r="F94" s="421" t="s">
        <v>183</v>
      </c>
    </row>
    <row r="95" spans="1:6" x14ac:dyDescent="0.2">
      <c r="A95" s="551" t="s">
        <v>39</v>
      </c>
      <c r="B95" s="552"/>
      <c r="C95" s="552"/>
      <c r="D95" s="553"/>
      <c r="E95" s="29"/>
      <c r="F95" s="421">
        <f>678*('PPI Adj'!D6)</f>
        <v>791.226</v>
      </c>
    </row>
    <row r="96" spans="1:6" ht="12.75" customHeight="1" x14ac:dyDescent="0.2">
      <c r="A96" s="551" t="s">
        <v>88</v>
      </c>
      <c r="B96" s="552"/>
      <c r="C96" s="552"/>
      <c r="D96" s="553"/>
      <c r="E96" s="29"/>
      <c r="F96" s="421">
        <f>4245*('PPI Adj'!D6)</f>
        <v>4953.915</v>
      </c>
    </row>
    <row r="97" spans="1:6" x14ac:dyDescent="0.2">
      <c r="A97" s="551" t="s">
        <v>40</v>
      </c>
      <c r="B97" s="552"/>
      <c r="C97" s="552"/>
      <c r="D97" s="553"/>
      <c r="E97" s="29"/>
      <c r="F97" s="421">
        <f>225*('PPI Adj'!D6)</f>
        <v>262.57499999999999</v>
      </c>
    </row>
    <row r="98" spans="1:6" x14ac:dyDescent="0.2">
      <c r="A98" s="551" t="s">
        <v>14</v>
      </c>
      <c r="B98" s="552"/>
      <c r="C98" s="552"/>
      <c r="D98" s="553"/>
      <c r="E98" s="29"/>
      <c r="F98" s="421">
        <f>9538.02*('PPI Adj'!D6)</f>
        <v>11130.869340000001</v>
      </c>
    </row>
    <row r="99" spans="1:6" ht="12.75" customHeight="1" x14ac:dyDescent="0.2">
      <c r="A99" s="551" t="s">
        <v>91</v>
      </c>
      <c r="B99" s="552"/>
      <c r="C99" s="552"/>
      <c r="D99" s="553"/>
      <c r="E99" s="29"/>
      <c r="F99" s="421">
        <f>1971*('PPI Adj'!D6)</f>
        <v>2300.1570000000002</v>
      </c>
    </row>
    <row r="100" spans="1:6" x14ac:dyDescent="0.2">
      <c r="A100" s="557" t="s">
        <v>272</v>
      </c>
      <c r="B100" s="558"/>
      <c r="C100" s="558"/>
      <c r="D100" s="559"/>
      <c r="E100" s="29"/>
      <c r="F100" s="422">
        <f>-1036*('PPI Adj'!D6)</f>
        <v>-1209.0119999999999</v>
      </c>
    </row>
    <row r="101" spans="1:6" ht="13.5" customHeight="1" thickBot="1" x14ac:dyDescent="0.25">
      <c r="A101" s="554" t="s">
        <v>92</v>
      </c>
      <c r="B101" s="555"/>
      <c r="C101" s="555"/>
      <c r="D101" s="556"/>
      <c r="E101" s="30"/>
      <c r="F101" s="423">
        <f>-2023*('PPI Adj'!D6)</f>
        <v>-2360.8409999999999</v>
      </c>
    </row>
    <row r="102" spans="1:6" ht="13.5" thickBot="1" x14ac:dyDescent="0.25"/>
    <row r="103" spans="1:6" s="16" customFormat="1" ht="18" customHeight="1" thickBot="1" x14ac:dyDescent="0.3">
      <c r="A103" s="536" t="s">
        <v>166</v>
      </c>
      <c r="B103" s="537"/>
      <c r="C103" s="537"/>
      <c r="D103" s="538"/>
      <c r="E103" s="33"/>
      <c r="F103" s="473" t="s">
        <v>334</v>
      </c>
    </row>
    <row r="104" spans="1:6" s="3" customFormat="1" ht="15" customHeight="1" thickBot="1" x14ac:dyDescent="0.3">
      <c r="A104" s="49" t="s">
        <v>33</v>
      </c>
      <c r="B104" s="19" t="s">
        <v>7</v>
      </c>
      <c r="C104" s="560" t="s">
        <v>165</v>
      </c>
      <c r="D104" s="561"/>
      <c r="E104" s="34"/>
      <c r="F104" s="415" t="s">
        <v>19</v>
      </c>
    </row>
    <row r="105" spans="1:6" s="13" customFormat="1" ht="41.1" customHeight="1" thickBot="1" x14ac:dyDescent="0.3">
      <c r="A105" s="50" t="s">
        <v>83</v>
      </c>
      <c r="B105" s="18" t="s">
        <v>146</v>
      </c>
      <c r="C105" s="562"/>
      <c r="D105" s="563"/>
      <c r="E105" s="30"/>
      <c r="F105" s="373"/>
    </row>
    <row r="106" spans="1:6" s="13" customFormat="1" ht="26.25" thickBot="1" x14ac:dyDescent="0.3">
      <c r="A106" s="47" t="s">
        <v>34</v>
      </c>
      <c r="B106" s="25" t="s">
        <v>107</v>
      </c>
      <c r="C106" s="543" t="s">
        <v>30</v>
      </c>
      <c r="D106" s="544"/>
      <c r="E106" s="29"/>
      <c r="F106" s="373" t="s">
        <v>349</v>
      </c>
    </row>
    <row r="107" spans="1:6" s="13" customFormat="1" ht="56.1" customHeight="1" thickBot="1" x14ac:dyDescent="0.3">
      <c r="A107" s="47" t="s">
        <v>35</v>
      </c>
      <c r="B107" s="25" t="s">
        <v>97</v>
      </c>
      <c r="C107" s="531"/>
      <c r="D107" s="532"/>
      <c r="E107" s="30"/>
      <c r="F107" s="373"/>
    </row>
    <row r="108" spans="1:6" s="13" customFormat="1" ht="27.95" customHeight="1" thickBot="1" x14ac:dyDescent="0.3">
      <c r="A108" s="47" t="s">
        <v>36</v>
      </c>
      <c r="B108" s="25" t="s">
        <v>84</v>
      </c>
      <c r="C108" s="543" t="s">
        <v>99</v>
      </c>
      <c r="D108" s="544"/>
      <c r="E108" s="29"/>
      <c r="F108" s="373" t="s">
        <v>410</v>
      </c>
    </row>
    <row r="109" spans="1:6" s="13" customFormat="1" ht="12.75" customHeight="1" x14ac:dyDescent="0.25">
      <c r="A109" s="517" t="s">
        <v>60</v>
      </c>
      <c r="B109" s="519" t="s">
        <v>133</v>
      </c>
      <c r="C109" s="521" t="s">
        <v>203</v>
      </c>
      <c r="D109" s="522"/>
      <c r="E109" s="29"/>
      <c r="F109" s="367" t="s">
        <v>413</v>
      </c>
    </row>
    <row r="110" spans="1:6" s="13" customFormat="1" x14ac:dyDescent="0.25">
      <c r="A110" s="525"/>
      <c r="B110" s="526"/>
      <c r="C110" s="527" t="s">
        <v>202</v>
      </c>
      <c r="D110" s="528"/>
      <c r="E110" s="29"/>
      <c r="F110" s="334">
        <v>6005</v>
      </c>
    </row>
    <row r="111" spans="1:6" s="13" customFormat="1" x14ac:dyDescent="0.25">
      <c r="A111" s="525"/>
      <c r="B111" s="526"/>
      <c r="C111" s="527" t="s">
        <v>114</v>
      </c>
      <c r="D111" s="528"/>
      <c r="E111" s="29"/>
      <c r="F111" s="334" t="s">
        <v>485</v>
      </c>
    </row>
    <row r="112" spans="1:6" s="13" customFormat="1" ht="30.75" customHeight="1" thickBot="1" x14ac:dyDescent="0.3">
      <c r="A112" s="518"/>
      <c r="B112" s="520"/>
      <c r="C112" s="515" t="s">
        <v>115</v>
      </c>
      <c r="D112" s="516"/>
      <c r="E112" s="29"/>
      <c r="F112" s="343" t="s">
        <v>473</v>
      </c>
    </row>
    <row r="113" spans="1:6" s="13" customFormat="1" ht="12.75" customHeight="1" x14ac:dyDescent="0.25">
      <c r="A113" s="517" t="s">
        <v>61</v>
      </c>
      <c r="B113" s="519" t="s">
        <v>206</v>
      </c>
      <c r="C113" s="521" t="s">
        <v>205</v>
      </c>
      <c r="D113" s="522"/>
      <c r="E113" s="29"/>
      <c r="F113" s="367" t="s">
        <v>474</v>
      </c>
    </row>
    <row r="114" spans="1:6" s="13" customFormat="1" x14ac:dyDescent="0.25">
      <c r="A114" s="525"/>
      <c r="B114" s="526"/>
      <c r="C114" s="527" t="s">
        <v>204</v>
      </c>
      <c r="D114" s="528"/>
      <c r="E114" s="29"/>
      <c r="F114" s="419">
        <v>6610</v>
      </c>
    </row>
    <row r="115" spans="1:6" s="13" customFormat="1" x14ac:dyDescent="0.25">
      <c r="A115" s="525"/>
      <c r="B115" s="526"/>
      <c r="C115" s="527" t="s">
        <v>203</v>
      </c>
      <c r="D115" s="528"/>
      <c r="E115" s="29"/>
      <c r="F115" s="419" t="s">
        <v>474</v>
      </c>
    </row>
    <row r="116" spans="1:6" s="13" customFormat="1" x14ac:dyDescent="0.25">
      <c r="A116" s="525"/>
      <c r="B116" s="526"/>
      <c r="C116" s="527" t="s">
        <v>202</v>
      </c>
      <c r="D116" s="528"/>
      <c r="E116" s="29"/>
      <c r="F116" s="334">
        <v>6005</v>
      </c>
    </row>
    <row r="117" spans="1:6" s="13" customFormat="1" x14ac:dyDescent="0.25">
      <c r="A117" s="525"/>
      <c r="B117" s="526"/>
      <c r="C117" s="527" t="s">
        <v>112</v>
      </c>
      <c r="D117" s="528"/>
      <c r="E117" s="29"/>
      <c r="F117" s="334" t="s">
        <v>475</v>
      </c>
    </row>
    <row r="118" spans="1:6" s="13" customFormat="1" x14ac:dyDescent="0.25">
      <c r="A118" s="525"/>
      <c r="B118" s="526"/>
      <c r="C118" s="527" t="s">
        <v>113</v>
      </c>
      <c r="D118" s="528"/>
      <c r="E118" s="29"/>
      <c r="F118" s="419" t="s">
        <v>415</v>
      </c>
    </row>
    <row r="119" spans="1:6" s="13" customFormat="1" x14ac:dyDescent="0.25">
      <c r="A119" s="525"/>
      <c r="B119" s="526"/>
      <c r="C119" s="527" t="s">
        <v>114</v>
      </c>
      <c r="D119" s="528"/>
      <c r="E119" s="29"/>
      <c r="F119" s="419" t="s">
        <v>475</v>
      </c>
    </row>
    <row r="120" spans="1:6" s="13" customFormat="1" ht="13.5" thickBot="1" x14ac:dyDescent="0.3">
      <c r="A120" s="518"/>
      <c r="B120" s="520"/>
      <c r="C120" s="515" t="s">
        <v>115</v>
      </c>
      <c r="D120" s="516"/>
      <c r="E120" s="29"/>
      <c r="F120" s="343" t="s">
        <v>415</v>
      </c>
    </row>
    <row r="121" spans="1:6" s="13" customFormat="1" ht="143.44999999999999" customHeight="1" thickBot="1" x14ac:dyDescent="0.3">
      <c r="A121" s="51" t="s">
        <v>86</v>
      </c>
      <c r="B121" s="17" t="s">
        <v>143</v>
      </c>
      <c r="C121" s="543" t="s">
        <v>104</v>
      </c>
      <c r="D121" s="544"/>
      <c r="E121" s="29"/>
      <c r="F121" s="367" t="s">
        <v>476</v>
      </c>
    </row>
    <row r="122" spans="1:6" ht="168.95" customHeight="1" thickBot="1" x14ac:dyDescent="0.25">
      <c r="A122" s="47" t="s">
        <v>85</v>
      </c>
      <c r="B122" s="14" t="s">
        <v>170</v>
      </c>
      <c r="C122" s="543" t="s">
        <v>104</v>
      </c>
      <c r="D122" s="544"/>
      <c r="E122" s="29"/>
      <c r="F122" s="373" t="s">
        <v>477</v>
      </c>
    </row>
    <row r="123" spans="1:6" x14ac:dyDescent="0.2">
      <c r="A123" s="517" t="s">
        <v>13</v>
      </c>
      <c r="B123" s="519" t="s">
        <v>98</v>
      </c>
      <c r="C123" s="521" t="s">
        <v>30</v>
      </c>
      <c r="D123" s="522"/>
      <c r="E123" s="29"/>
      <c r="F123" s="367" t="s">
        <v>358</v>
      </c>
    </row>
    <row r="124" spans="1:6" ht="30.6" customHeight="1" thickBot="1" x14ac:dyDescent="0.25">
      <c r="A124" s="518"/>
      <c r="B124" s="520"/>
      <c r="C124" s="515" t="s">
        <v>109</v>
      </c>
      <c r="D124" s="516"/>
      <c r="E124" s="29"/>
      <c r="F124" s="343" t="s">
        <v>359</v>
      </c>
    </row>
    <row r="125" spans="1:6" ht="66" customHeight="1" thickBot="1" x14ac:dyDescent="0.25">
      <c r="A125" s="47" t="s">
        <v>37</v>
      </c>
      <c r="B125" s="25" t="s">
        <v>135</v>
      </c>
      <c r="C125" s="531"/>
      <c r="D125" s="532"/>
      <c r="E125" s="30"/>
      <c r="F125" s="373" t="s">
        <v>375</v>
      </c>
    </row>
    <row r="126" spans="1:6" ht="42.95" customHeight="1" thickBot="1" x14ac:dyDescent="0.25">
      <c r="A126" s="47" t="s">
        <v>38</v>
      </c>
      <c r="B126" s="25" t="s">
        <v>87</v>
      </c>
      <c r="C126" s="531"/>
      <c r="D126" s="532"/>
      <c r="E126" s="30"/>
      <c r="F126" s="373"/>
    </row>
    <row r="127" spans="1:6" ht="17.100000000000001" customHeight="1" thickBot="1" x14ac:dyDescent="0.25">
      <c r="A127" s="47" t="s">
        <v>201</v>
      </c>
      <c r="B127" s="25" t="s">
        <v>200</v>
      </c>
      <c r="C127" s="543"/>
      <c r="D127" s="544"/>
      <c r="E127" s="29"/>
      <c r="F127" s="373"/>
    </row>
    <row r="128" spans="1:6" ht="29.45" customHeight="1" thickBot="1" x14ac:dyDescent="0.25">
      <c r="A128" s="47" t="s">
        <v>39</v>
      </c>
      <c r="B128" s="25" t="s">
        <v>106</v>
      </c>
      <c r="C128" s="543" t="s">
        <v>105</v>
      </c>
      <c r="D128" s="544"/>
      <c r="E128" s="29"/>
      <c r="F128" s="373" t="s">
        <v>323</v>
      </c>
    </row>
    <row r="129" spans="1:6" x14ac:dyDescent="0.2">
      <c r="A129" s="517" t="s">
        <v>88</v>
      </c>
      <c r="B129" s="519" t="s">
        <v>148</v>
      </c>
      <c r="C129" s="521" t="s">
        <v>100</v>
      </c>
      <c r="D129" s="522"/>
      <c r="E129" s="29"/>
      <c r="F129" s="367" t="s">
        <v>420</v>
      </c>
    </row>
    <row r="130" spans="1:6" ht="108" customHeight="1" thickBot="1" x14ac:dyDescent="0.25">
      <c r="A130" s="518"/>
      <c r="B130" s="520"/>
      <c r="C130" s="515" t="s">
        <v>110</v>
      </c>
      <c r="D130" s="516"/>
      <c r="E130" s="29"/>
      <c r="F130" s="424" t="s">
        <v>435</v>
      </c>
    </row>
    <row r="131" spans="1:6" ht="26.25" thickBot="1" x14ac:dyDescent="0.25">
      <c r="A131" s="47" t="s">
        <v>40</v>
      </c>
      <c r="B131" s="25" t="s">
        <v>137</v>
      </c>
      <c r="C131" s="543" t="s">
        <v>100</v>
      </c>
      <c r="D131" s="544"/>
      <c r="E131" s="29"/>
      <c r="F131" s="343" t="s">
        <v>360</v>
      </c>
    </row>
    <row r="132" spans="1:6" ht="54.6" customHeight="1" thickBot="1" x14ac:dyDescent="0.25">
      <c r="A132" s="47" t="s">
        <v>14</v>
      </c>
      <c r="B132" s="25" t="s">
        <v>138</v>
      </c>
      <c r="C132" s="543" t="s">
        <v>139</v>
      </c>
      <c r="D132" s="544"/>
      <c r="E132" s="29"/>
      <c r="F132" s="373">
        <v>2</v>
      </c>
    </row>
    <row r="133" spans="1:6" ht="65.45" customHeight="1" thickBot="1" x14ac:dyDescent="0.25">
      <c r="A133" s="47" t="s">
        <v>91</v>
      </c>
      <c r="B133" s="25" t="s">
        <v>144</v>
      </c>
      <c r="C133" s="543" t="s">
        <v>100</v>
      </c>
      <c r="D133" s="544"/>
      <c r="E133" s="29"/>
      <c r="F133" s="373" t="s">
        <v>361</v>
      </c>
    </row>
    <row r="134" spans="1:6" ht="67.5" customHeight="1" thickBot="1" x14ac:dyDescent="0.25">
      <c r="A134" s="47" t="s">
        <v>92</v>
      </c>
      <c r="B134" s="25" t="s">
        <v>145</v>
      </c>
      <c r="C134" s="531"/>
      <c r="D134" s="532"/>
      <c r="E134" s="30"/>
      <c r="F134" s="373"/>
    </row>
  </sheetData>
  <sheetProtection algorithmName="SHA-512" hashValue="gKqW3PFZELW6OLo4InqSlifM/TEIOAWtnnSaXNCSjH/CT3wXNvYjnPWsNbdywGy/TQtUvU+HTqpRX/ipFiEHKw==" saltValue="BkvNwzKLtKPatOjr4Irteg==" spinCount="100000" sheet="1" formatCells="0" formatRows="0"/>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19" priority="63">
      <formula>#REF!="NO"</formula>
    </cfRule>
  </conditionalFormatting>
  <conditionalFormatting sqref="C40:D42">
    <cfRule type="expression" dxfId="18" priority="18">
      <formula>$F$2="NO"</formula>
    </cfRule>
  </conditionalFormatting>
  <conditionalFormatting sqref="C26:E39">
    <cfRule type="expression" dxfId="17" priority="64">
      <formula>#REF!="NO"</formula>
    </cfRule>
  </conditionalFormatting>
  <conditionalFormatting sqref="C43:E79">
    <cfRule type="expression" dxfId="16" priority="17">
      <formula>#REF!="NO"</formula>
    </cfRule>
  </conditionalFormatting>
  <conditionalFormatting sqref="C105:F134">
    <cfRule type="expression" dxfId="15" priority="23">
      <formula>#REF!="NO"</formula>
    </cfRule>
  </conditionalFormatting>
  <conditionalFormatting sqref="E40:E42">
    <cfRule type="expression" dxfId="14" priority="22">
      <formula>#REF!="NO"</formula>
    </cfRule>
  </conditionalFormatting>
  <conditionalFormatting sqref="E83:F101">
    <cfRule type="expression" dxfId="13" priority="1">
      <formula>#REF!="NO"</formula>
    </cfRule>
  </conditionalFormatting>
  <conditionalFormatting sqref="F8:F17">
    <cfRule type="expression" dxfId="12" priority="60">
      <formula>#REF!="NO"</formula>
    </cfRule>
  </conditionalFormatting>
  <conditionalFormatting sqref="F21:F22">
    <cfRule type="expression" dxfId="11" priority="61">
      <formula>#REF!="NO"</formula>
    </cfRule>
  </conditionalFormatting>
  <conditionalFormatting sqref="F26:G79">
    <cfRule type="expression" dxfId="10" priority="15">
      <formula>#REF!="NO"</formula>
    </cfRule>
  </conditionalFormatting>
  <dataValidations count="3">
    <dataValidation type="decimal" operator="greaterThanOrEqual" allowBlank="1" showInputMessage="1" showErrorMessage="1" error="The Pickup Allowance cannot be a negative number." sqref="F16" xr:uid="{00000000-0002-0000-0C00-000002000000}">
      <formula1>0</formula1>
    </dataValidation>
    <dataValidation type="decimal" allowBlank="1" showInputMessage="1" showErrorMessage="1" error="Invalid Entry - Bidder must enter a value that is greater than $0" sqref="F21" xr:uid="{00000000-0002-0000-0C00-000001000000}">
      <formula1>0</formula1>
      <formula2>9E+21</formula2>
    </dataValidation>
    <dataValidation type="decimal" allowBlank="1" showInputMessage="1" showErrorMessage="1" error="The Additional Options NYS Discount entered must be greater than 0%, or less than or equal to 100%." sqref="F22" xr:uid="{00000000-0002-0000-0C00-000000000000}">
      <formula1>0.01</formula1>
      <formula2>100</formula2>
    </dataValidation>
  </dataValidations>
  <pageMargins left="0.25" right="0.25" top="0.5" bottom="0.25" header="0.3" footer="0.3"/>
  <pageSetup scale="93" fitToHeight="0" orientation="landscape" r:id="rId1"/>
  <rowBreaks count="3" manualBreakCount="3">
    <brk id="28" max="7" man="1"/>
    <brk id="75" max="7" man="1"/>
    <brk id="108"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EE25-B38C-468D-B418-3281434C0469}">
  <sheetPr>
    <tabColor theme="8"/>
    <pageSetUpPr autoPageBreaks="0" fitToPage="1"/>
  </sheetPr>
  <dimension ref="A1:H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7" width="20.7109375" style="385" customWidth="1"/>
    <col min="8" max="8" width="2.7109375" style="2" customWidth="1"/>
    <col min="9" max="16384" width="9.140625" style="2"/>
  </cols>
  <sheetData>
    <row r="1" spans="1:8" ht="18" customHeight="1" x14ac:dyDescent="0.2">
      <c r="A1" s="300" t="str">
        <f>'A (Item 2-G)'!$A$1</f>
        <v>GROUP 40524-23254, SCHOOL BUSES (Statewide)                                                             Attachment 1 - Specifications and Pricing (Revised October 15, 2026)</v>
      </c>
      <c r="F1" s="301"/>
      <c r="G1" s="301"/>
    </row>
    <row r="2" spans="1:8" s="20" customFormat="1" ht="18" customHeight="1" thickBot="1" x14ac:dyDescent="0.3">
      <c r="A2" s="302" t="str">
        <f>'Attachment 1 - Summary'!B2</f>
        <v>PC69863 Nesco Bus and Truck Sales, Inc.</v>
      </c>
      <c r="B2" s="21"/>
      <c r="C2" s="21"/>
      <c r="D2" s="21"/>
      <c r="E2" s="21"/>
      <c r="F2" s="303"/>
      <c r="G2" s="303"/>
      <c r="H2" s="21"/>
    </row>
    <row r="3" spans="1:8" ht="24" thickBot="1" x14ac:dyDescent="0.25">
      <c r="A3" s="833" t="s">
        <v>326</v>
      </c>
      <c r="B3" s="834"/>
      <c r="C3" s="834"/>
      <c r="D3" s="835"/>
      <c r="E3" s="8"/>
      <c r="F3" s="304"/>
      <c r="G3" s="304"/>
      <c r="H3" s="8"/>
    </row>
    <row r="4" spans="1:8" ht="51" customHeight="1" thickBot="1" x14ac:dyDescent="0.25">
      <c r="A4" s="506" t="s">
        <v>325</v>
      </c>
      <c r="B4" s="507"/>
      <c r="C4" s="507"/>
      <c r="D4" s="508"/>
      <c r="E4" s="8"/>
      <c r="F4" s="304"/>
      <c r="G4" s="304"/>
      <c r="H4" s="8"/>
    </row>
    <row r="5" spans="1:8" s="4" customFormat="1" ht="11.25" customHeight="1" thickBot="1" x14ac:dyDescent="0.3">
      <c r="A5" s="411"/>
      <c r="B5" s="411"/>
      <c r="C5" s="411"/>
      <c r="D5" s="411"/>
      <c r="E5" s="411"/>
      <c r="F5" s="413"/>
      <c r="G5" s="425"/>
    </row>
    <row r="6" spans="1:8" s="7" customFormat="1" ht="16.5" customHeight="1" thickBot="1" x14ac:dyDescent="0.25">
      <c r="A6" s="509" t="s">
        <v>151</v>
      </c>
      <c r="B6" s="510"/>
      <c r="C6" s="510"/>
      <c r="D6" s="511"/>
      <c r="E6" s="31"/>
      <c r="F6" s="836" t="s">
        <v>334</v>
      </c>
      <c r="G6" s="837"/>
      <c r="H6" s="31"/>
    </row>
    <row r="7" spans="1:8" s="4" customFormat="1" ht="15" customHeight="1" thickBot="1" x14ac:dyDescent="0.3">
      <c r="A7" s="37" t="s">
        <v>6</v>
      </c>
      <c r="B7" s="22" t="s">
        <v>165</v>
      </c>
      <c r="C7" s="27"/>
      <c r="D7" s="35"/>
      <c r="E7" s="32"/>
      <c r="F7" s="415" t="s">
        <v>19</v>
      </c>
      <c r="G7" s="415" t="s">
        <v>429</v>
      </c>
      <c r="H7" s="32"/>
    </row>
    <row r="8" spans="1:8" ht="65.25" thickTop="1" thickBot="1" x14ac:dyDescent="0.25">
      <c r="A8" s="38" t="s">
        <v>9</v>
      </c>
      <c r="B8" s="500" t="s">
        <v>152</v>
      </c>
      <c r="C8" s="501"/>
      <c r="D8" s="502"/>
      <c r="E8" s="13"/>
      <c r="F8" s="324" t="s">
        <v>487</v>
      </c>
      <c r="G8" s="324" t="s">
        <v>498</v>
      </c>
      <c r="H8" s="13"/>
    </row>
    <row r="9" spans="1:8" s="7" customFormat="1" ht="44.25" customHeight="1" thickTop="1" thickBot="1" x14ac:dyDescent="0.25">
      <c r="A9" s="38" t="s">
        <v>136</v>
      </c>
      <c r="B9" s="500" t="s">
        <v>191</v>
      </c>
      <c r="C9" s="501"/>
      <c r="D9" s="502"/>
      <c r="E9" s="13"/>
      <c r="F9" s="324" t="s">
        <v>497</v>
      </c>
      <c r="G9" s="324" t="s">
        <v>497</v>
      </c>
      <c r="H9" s="13"/>
    </row>
    <row r="10" spans="1:8" ht="12.75" customHeight="1" thickTop="1" x14ac:dyDescent="0.2">
      <c r="A10" s="39" t="s">
        <v>0</v>
      </c>
      <c r="B10" s="491" t="s">
        <v>154</v>
      </c>
      <c r="C10" s="492"/>
      <c r="D10" s="493"/>
      <c r="E10" s="13"/>
      <c r="F10" s="334" t="s">
        <v>334</v>
      </c>
      <c r="G10" s="334" t="s">
        <v>334</v>
      </c>
      <c r="H10" s="13"/>
    </row>
    <row r="11" spans="1:8" x14ac:dyDescent="0.2">
      <c r="A11" s="39" t="s">
        <v>1</v>
      </c>
      <c r="B11" s="491" t="s">
        <v>153</v>
      </c>
      <c r="C11" s="492"/>
      <c r="D11" s="493"/>
      <c r="E11" s="13"/>
      <c r="F11" s="334" t="s">
        <v>489</v>
      </c>
      <c r="G11" s="334" t="s">
        <v>489</v>
      </c>
      <c r="H11" s="13"/>
    </row>
    <row r="12" spans="1:8" ht="12.75" customHeight="1" thickBot="1" x14ac:dyDescent="0.25">
      <c r="A12" s="40" t="s">
        <v>2</v>
      </c>
      <c r="B12" s="494" t="s">
        <v>155</v>
      </c>
      <c r="C12" s="495"/>
      <c r="D12" s="496"/>
      <c r="E12" s="13"/>
      <c r="F12" s="336" t="s">
        <v>489</v>
      </c>
      <c r="G12" s="336" t="s">
        <v>489</v>
      </c>
      <c r="H12" s="13"/>
    </row>
    <row r="13" spans="1:8" ht="13.5" thickTop="1" x14ac:dyDescent="0.2">
      <c r="A13" s="39" t="s">
        <v>3</v>
      </c>
      <c r="B13" s="491" t="s">
        <v>157</v>
      </c>
      <c r="C13" s="492"/>
      <c r="D13" s="493"/>
      <c r="E13" s="13"/>
      <c r="F13" s="334" t="s">
        <v>334</v>
      </c>
      <c r="G13" s="334" t="s">
        <v>334</v>
      </c>
      <c r="H13" s="13"/>
    </row>
    <row r="14" spans="1:8" x14ac:dyDescent="0.2">
      <c r="A14" s="39" t="s">
        <v>4</v>
      </c>
      <c r="B14" s="491" t="s">
        <v>156</v>
      </c>
      <c r="C14" s="492"/>
      <c r="D14" s="493"/>
      <c r="E14" s="13"/>
      <c r="F14" s="334" t="s">
        <v>490</v>
      </c>
      <c r="G14" s="334" t="s">
        <v>490</v>
      </c>
      <c r="H14" s="13"/>
    </row>
    <row r="15" spans="1:8" ht="15.75" customHeight="1" thickBot="1" x14ac:dyDescent="0.25">
      <c r="A15" s="41" t="s">
        <v>5</v>
      </c>
      <c r="B15" s="494" t="s">
        <v>158</v>
      </c>
      <c r="C15" s="495"/>
      <c r="D15" s="496"/>
      <c r="E15" s="13"/>
      <c r="F15" s="341" t="s">
        <v>499</v>
      </c>
      <c r="G15" s="341" t="s">
        <v>500</v>
      </c>
      <c r="H15" s="13"/>
    </row>
    <row r="16" spans="1:8" ht="29.25" customHeight="1" thickTop="1" x14ac:dyDescent="0.2">
      <c r="A16" s="39" t="s">
        <v>101</v>
      </c>
      <c r="B16" s="497" t="s">
        <v>160</v>
      </c>
      <c r="C16" s="498"/>
      <c r="D16" s="499"/>
      <c r="E16" s="13"/>
      <c r="F16" s="342">
        <v>100</v>
      </c>
      <c r="G16" s="342"/>
      <c r="H16" s="13"/>
    </row>
    <row r="17" spans="1:8" ht="30.75" customHeight="1" thickBot="1" x14ac:dyDescent="0.25">
      <c r="A17" s="41" t="s">
        <v>43</v>
      </c>
      <c r="B17" s="494" t="s">
        <v>159</v>
      </c>
      <c r="C17" s="495"/>
      <c r="D17" s="496"/>
      <c r="E17" s="13"/>
      <c r="F17" s="341" t="s">
        <v>366</v>
      </c>
      <c r="G17" s="341" t="s">
        <v>366</v>
      </c>
      <c r="H17" s="13"/>
    </row>
    <row r="18" spans="1:8" s="9" customFormat="1" ht="14.25" thickTop="1" thickBot="1" x14ac:dyDescent="0.25">
      <c r="C18" s="10"/>
      <c r="D18" s="10"/>
      <c r="E18" s="10"/>
      <c r="F18" s="345"/>
      <c r="G18" s="345"/>
      <c r="H18" s="10"/>
    </row>
    <row r="19" spans="1:8" s="11" customFormat="1" ht="16.5" customHeight="1" thickBot="1" x14ac:dyDescent="0.25">
      <c r="A19" s="509" t="s">
        <v>150</v>
      </c>
      <c r="B19" s="510"/>
      <c r="C19" s="510"/>
      <c r="D19" s="511"/>
      <c r="E19" s="31"/>
      <c r="F19" s="836" t="s">
        <v>334</v>
      </c>
      <c r="G19" s="837"/>
      <c r="H19" s="31"/>
    </row>
    <row r="20" spans="1:8" s="4" customFormat="1" ht="15" customHeight="1" thickBot="1" x14ac:dyDescent="0.3">
      <c r="A20" s="52" t="s">
        <v>6</v>
      </c>
      <c r="B20" s="26" t="s">
        <v>165</v>
      </c>
      <c r="C20" s="28"/>
      <c r="D20" s="45"/>
      <c r="E20" s="32"/>
      <c r="F20" s="415" t="s">
        <v>19</v>
      </c>
      <c r="G20" s="415" t="s">
        <v>429</v>
      </c>
      <c r="H20" s="32"/>
    </row>
    <row r="21" spans="1:8" ht="56.25" customHeight="1" x14ac:dyDescent="0.2">
      <c r="A21" s="42" t="s">
        <v>42</v>
      </c>
      <c r="B21" s="512" t="s">
        <v>161</v>
      </c>
      <c r="C21" s="513"/>
      <c r="D21" s="514"/>
      <c r="E21" s="13"/>
      <c r="F21" s="416">
        <f>163124.93*('PPI Adj'!D6)</f>
        <v>190366.79331000001</v>
      </c>
      <c r="G21" s="416">
        <f>212335.61*('PPI Adj'!D6)</f>
        <v>247795.65687000001</v>
      </c>
      <c r="H21" s="13"/>
    </row>
    <row r="22" spans="1:8" ht="33" customHeight="1" thickBot="1" x14ac:dyDescent="0.25">
      <c r="A22" s="43" t="s">
        <v>41</v>
      </c>
      <c r="B22" s="533" t="s">
        <v>163</v>
      </c>
      <c r="C22" s="534"/>
      <c r="D22" s="535"/>
      <c r="E22" s="1"/>
      <c r="F22" s="354">
        <v>20</v>
      </c>
      <c r="G22" s="354">
        <v>20</v>
      </c>
      <c r="H22" s="1"/>
    </row>
    <row r="23" spans="1:8" ht="13.5" thickBot="1" x14ac:dyDescent="0.25">
      <c r="A23" s="69"/>
      <c r="B23" s="1"/>
      <c r="C23" s="1"/>
      <c r="D23" s="1"/>
      <c r="E23" s="1"/>
      <c r="F23" s="418"/>
      <c r="G23" s="418"/>
      <c r="H23" s="1"/>
    </row>
    <row r="24" spans="1:8" s="7" customFormat="1" ht="15.75" customHeight="1" thickBot="1" x14ac:dyDescent="0.25">
      <c r="A24" s="536" t="s">
        <v>164</v>
      </c>
      <c r="B24" s="537"/>
      <c r="C24" s="537"/>
      <c r="D24" s="538"/>
      <c r="E24" s="33"/>
      <c r="F24" s="836" t="s">
        <v>334</v>
      </c>
      <c r="G24" s="837"/>
      <c r="H24" s="33"/>
    </row>
    <row r="25" spans="1:8" s="3" customFormat="1" ht="15" customHeight="1" thickBot="1" x14ac:dyDescent="0.3">
      <c r="A25" s="52" t="s">
        <v>6</v>
      </c>
      <c r="B25" s="53" t="s">
        <v>7</v>
      </c>
      <c r="C25" s="539" t="s">
        <v>165</v>
      </c>
      <c r="D25" s="540"/>
      <c r="E25" s="34"/>
      <c r="F25" s="415" t="s">
        <v>19</v>
      </c>
      <c r="G25" s="415" t="s">
        <v>429</v>
      </c>
      <c r="H25" s="34"/>
    </row>
    <row r="26" spans="1:8" s="13" customFormat="1" ht="67.5" customHeight="1" thickBot="1" x14ac:dyDescent="0.3">
      <c r="A26" s="46" t="s">
        <v>8</v>
      </c>
      <c r="B26" s="25" t="s">
        <v>319</v>
      </c>
      <c r="C26" s="515" t="s">
        <v>118</v>
      </c>
      <c r="D26" s="516"/>
      <c r="E26" s="29"/>
      <c r="F26" s="343">
        <v>33000</v>
      </c>
      <c r="G26" s="343">
        <v>33000</v>
      </c>
      <c r="H26" s="29"/>
    </row>
    <row r="27" spans="1:8" s="13" customFormat="1" x14ac:dyDescent="0.25">
      <c r="A27" s="517" t="s">
        <v>21</v>
      </c>
      <c r="B27" s="519" t="s">
        <v>324</v>
      </c>
      <c r="C27" s="521" t="s">
        <v>67</v>
      </c>
      <c r="D27" s="522"/>
      <c r="E27" s="29"/>
      <c r="F27" s="367">
        <v>12</v>
      </c>
      <c r="G27" s="367">
        <v>12</v>
      </c>
      <c r="H27" s="29"/>
    </row>
    <row r="28" spans="1:8" s="13" customFormat="1" ht="13.5" thickBot="1" x14ac:dyDescent="0.3">
      <c r="A28" s="518"/>
      <c r="B28" s="520"/>
      <c r="C28" s="515" t="s">
        <v>68</v>
      </c>
      <c r="D28" s="516"/>
      <c r="E28" s="29"/>
      <c r="F28" s="343">
        <v>72</v>
      </c>
      <c r="G28" s="343">
        <v>72</v>
      </c>
      <c r="H28" s="29"/>
    </row>
    <row r="29" spans="1:8" s="13" customFormat="1" ht="13.5" thickBot="1" x14ac:dyDescent="0.3">
      <c r="A29" s="47" t="s">
        <v>123</v>
      </c>
      <c r="B29" s="25" t="s">
        <v>108</v>
      </c>
      <c r="C29" s="531"/>
      <c r="D29" s="532"/>
      <c r="E29" s="30"/>
      <c r="F29" s="373"/>
      <c r="G29" s="373"/>
      <c r="H29" s="30"/>
    </row>
    <row r="30" spans="1:8" s="13" customFormat="1" x14ac:dyDescent="0.25">
      <c r="A30" s="517" t="s">
        <v>59</v>
      </c>
      <c r="B30" s="519"/>
      <c r="C30" s="521" t="s">
        <v>58</v>
      </c>
      <c r="D30" s="522"/>
      <c r="E30" s="29"/>
      <c r="F30" s="367">
        <v>238</v>
      </c>
      <c r="G30" s="367">
        <v>238</v>
      </c>
      <c r="H30" s="29"/>
    </row>
    <row r="31" spans="1:8" s="13" customFormat="1" x14ac:dyDescent="0.25">
      <c r="A31" s="525"/>
      <c r="B31" s="526"/>
      <c r="C31" s="527" t="s">
        <v>57</v>
      </c>
      <c r="D31" s="528"/>
      <c r="E31" s="29"/>
      <c r="F31" s="334">
        <v>436</v>
      </c>
      <c r="G31" s="334">
        <v>436</v>
      </c>
      <c r="H31" s="29"/>
    </row>
    <row r="32" spans="1:8" s="13" customFormat="1" x14ac:dyDescent="0.25">
      <c r="A32" s="525"/>
      <c r="B32" s="526"/>
      <c r="C32" s="527" t="s">
        <v>69</v>
      </c>
      <c r="D32" s="528"/>
      <c r="E32" s="29"/>
      <c r="F32" s="334">
        <v>90</v>
      </c>
      <c r="G32" s="334">
        <v>90</v>
      </c>
      <c r="H32" s="29"/>
    </row>
    <row r="33" spans="1:8" s="13" customFormat="1" x14ac:dyDescent="0.25">
      <c r="A33" s="525"/>
      <c r="B33" s="526"/>
      <c r="C33" s="529" t="s">
        <v>70</v>
      </c>
      <c r="D33" s="530"/>
      <c r="E33" s="29"/>
      <c r="F33" s="334">
        <v>78</v>
      </c>
      <c r="G33" s="334">
        <v>78</v>
      </c>
      <c r="H33" s="29"/>
    </row>
    <row r="34" spans="1:8" s="13" customFormat="1" ht="13.5" thickBot="1" x14ac:dyDescent="0.3">
      <c r="A34" s="518"/>
      <c r="B34" s="520"/>
      <c r="C34" s="515" t="s">
        <v>111</v>
      </c>
      <c r="D34" s="516"/>
      <c r="E34" s="29"/>
      <c r="F34" s="343">
        <v>324</v>
      </c>
      <c r="G34" s="343">
        <v>324</v>
      </c>
      <c r="H34" s="29"/>
    </row>
    <row r="35" spans="1:8" s="13" customFormat="1" x14ac:dyDescent="0.25">
      <c r="A35" s="517" t="s">
        <v>11</v>
      </c>
      <c r="B35" s="519"/>
      <c r="C35" s="521" t="s">
        <v>24</v>
      </c>
      <c r="D35" s="522"/>
      <c r="E35" s="29"/>
      <c r="F35" s="367">
        <v>13200</v>
      </c>
      <c r="G35" s="367">
        <v>13200</v>
      </c>
      <c r="H35" s="29"/>
    </row>
    <row r="36" spans="1:8" s="13" customFormat="1" ht="13.5" thickBot="1" x14ac:dyDescent="0.3">
      <c r="A36" s="518"/>
      <c r="B36" s="520"/>
      <c r="C36" s="515" t="s">
        <v>22</v>
      </c>
      <c r="D36" s="516"/>
      <c r="E36" s="29"/>
      <c r="F36" s="343">
        <v>13200</v>
      </c>
      <c r="G36" s="343">
        <v>13200</v>
      </c>
      <c r="H36" s="29"/>
    </row>
    <row r="37" spans="1:8" s="13" customFormat="1" x14ac:dyDescent="0.25">
      <c r="A37" s="517" t="s">
        <v>16</v>
      </c>
      <c r="B37" s="519"/>
      <c r="C37" s="521" t="s">
        <v>24</v>
      </c>
      <c r="D37" s="522"/>
      <c r="E37" s="29"/>
      <c r="F37" s="367">
        <v>23000</v>
      </c>
      <c r="G37" s="367">
        <v>23000</v>
      </c>
      <c r="H37" s="29"/>
    </row>
    <row r="38" spans="1:8" s="13" customFormat="1" ht="13.5" thickBot="1" x14ac:dyDescent="0.3">
      <c r="A38" s="518"/>
      <c r="B38" s="520"/>
      <c r="C38" s="523" t="s">
        <v>23</v>
      </c>
      <c r="D38" s="524"/>
      <c r="E38" s="29"/>
      <c r="F38" s="343">
        <v>23000</v>
      </c>
      <c r="G38" s="343">
        <v>23000</v>
      </c>
      <c r="H38" s="29"/>
    </row>
    <row r="39" spans="1:8" s="13" customFormat="1" ht="17.45" customHeight="1" thickBot="1" x14ac:dyDescent="0.3">
      <c r="A39" s="47" t="s">
        <v>52</v>
      </c>
      <c r="B39" s="25" t="s">
        <v>53</v>
      </c>
      <c r="C39" s="531"/>
      <c r="D39" s="532"/>
      <c r="E39" s="30"/>
      <c r="F39" s="373"/>
      <c r="G39" s="373"/>
      <c r="H39" s="30"/>
    </row>
    <row r="40" spans="1:8" s="13" customFormat="1" x14ac:dyDescent="0.25">
      <c r="A40" s="517" t="s">
        <v>219</v>
      </c>
      <c r="B40" s="519" t="s">
        <v>222</v>
      </c>
      <c r="C40" s="521" t="s">
        <v>221</v>
      </c>
      <c r="D40" s="522"/>
      <c r="E40" s="29"/>
      <c r="F40" s="367" t="s">
        <v>464</v>
      </c>
      <c r="G40" s="367" t="s">
        <v>464</v>
      </c>
      <c r="H40" s="29"/>
    </row>
    <row r="41" spans="1:8" s="13" customFormat="1" ht="14.45" customHeight="1" x14ac:dyDescent="0.25">
      <c r="A41" s="525"/>
      <c r="B41" s="526"/>
      <c r="C41" s="527" t="s">
        <v>220</v>
      </c>
      <c r="D41" s="528"/>
      <c r="E41" s="29"/>
      <c r="F41" s="334" t="s">
        <v>425</v>
      </c>
      <c r="G41" s="334" t="s">
        <v>425</v>
      </c>
      <c r="H41" s="29"/>
    </row>
    <row r="42" spans="1:8" s="13" customFormat="1" ht="74.099999999999994" customHeight="1" thickBot="1" x14ac:dyDescent="0.3">
      <c r="A42" s="518"/>
      <c r="B42" s="526"/>
      <c r="C42" s="523"/>
      <c r="D42" s="524"/>
      <c r="E42" s="29"/>
      <c r="F42" s="329"/>
      <c r="G42" s="329"/>
      <c r="H42" s="29"/>
    </row>
    <row r="43" spans="1:8" s="13" customFormat="1" ht="30.95" customHeight="1" thickBot="1" x14ac:dyDescent="0.3">
      <c r="A43" s="47" t="s">
        <v>219</v>
      </c>
      <c r="B43" s="25" t="s">
        <v>218</v>
      </c>
      <c r="C43" s="531"/>
      <c r="D43" s="532"/>
      <c r="E43" s="30"/>
      <c r="F43" s="373"/>
      <c r="G43" s="373"/>
      <c r="H43" s="30"/>
    </row>
    <row r="44" spans="1:8" s="13" customFormat="1" ht="13.5" thickBot="1" x14ac:dyDescent="0.3">
      <c r="A44" s="541" t="s">
        <v>12</v>
      </c>
      <c r="B44" s="542" t="s">
        <v>142</v>
      </c>
      <c r="C44" s="521" t="s">
        <v>174</v>
      </c>
      <c r="D44" s="522"/>
      <c r="E44" s="29"/>
      <c r="F44" s="367" t="s">
        <v>413</v>
      </c>
      <c r="G44" s="367" t="s">
        <v>413</v>
      </c>
      <c r="H44" s="29"/>
    </row>
    <row r="45" spans="1:8" s="13" customFormat="1" ht="13.5" thickBot="1" x14ac:dyDescent="0.3">
      <c r="A45" s="541"/>
      <c r="B45" s="542"/>
      <c r="C45" s="527" t="s">
        <v>175</v>
      </c>
      <c r="D45" s="528"/>
      <c r="E45" s="29"/>
      <c r="F45" s="334">
        <v>6610</v>
      </c>
      <c r="G45" s="334">
        <v>6610</v>
      </c>
      <c r="H45" s="29"/>
    </row>
    <row r="46" spans="1:8" s="13" customFormat="1" ht="13.5" thickBot="1" x14ac:dyDescent="0.3">
      <c r="A46" s="541"/>
      <c r="B46" s="542"/>
      <c r="C46" s="527" t="s">
        <v>176</v>
      </c>
      <c r="D46" s="528"/>
      <c r="E46" s="29"/>
      <c r="F46" s="419" t="s">
        <v>413</v>
      </c>
      <c r="G46" s="419" t="s">
        <v>413</v>
      </c>
      <c r="H46" s="29"/>
    </row>
    <row r="47" spans="1:8" s="13" customFormat="1" ht="13.5" thickBot="1" x14ac:dyDescent="0.3">
      <c r="A47" s="541"/>
      <c r="B47" s="542"/>
      <c r="C47" s="527" t="s">
        <v>177</v>
      </c>
      <c r="D47" s="528"/>
      <c r="E47" s="29"/>
      <c r="F47" s="334">
        <v>6005</v>
      </c>
      <c r="G47" s="334">
        <v>6005</v>
      </c>
      <c r="H47" s="29"/>
    </row>
    <row r="48" spans="1:8" s="13" customFormat="1" ht="13.5" thickBot="1" x14ac:dyDescent="0.3">
      <c r="A48" s="541"/>
      <c r="B48" s="542"/>
      <c r="C48" s="527" t="s">
        <v>112</v>
      </c>
      <c r="D48" s="528"/>
      <c r="E48" s="29"/>
      <c r="F48" s="334" t="s">
        <v>483</v>
      </c>
      <c r="G48" s="334" t="s">
        <v>483</v>
      </c>
      <c r="H48" s="29"/>
    </row>
    <row r="49" spans="1:8" s="13" customFormat="1" ht="13.5" thickBot="1" x14ac:dyDescent="0.3">
      <c r="A49" s="541"/>
      <c r="B49" s="542"/>
      <c r="C49" s="527" t="s">
        <v>113</v>
      </c>
      <c r="D49" s="528"/>
      <c r="E49" s="29"/>
      <c r="F49" s="334" t="s">
        <v>484</v>
      </c>
      <c r="G49" s="334" t="s">
        <v>484</v>
      </c>
      <c r="H49" s="29"/>
    </row>
    <row r="50" spans="1:8" s="13" customFormat="1" ht="13.5" thickBot="1" x14ac:dyDescent="0.3">
      <c r="A50" s="541"/>
      <c r="B50" s="542"/>
      <c r="C50" s="529" t="s">
        <v>114</v>
      </c>
      <c r="D50" s="530"/>
      <c r="E50" s="29"/>
      <c r="F50" s="334" t="s">
        <v>483</v>
      </c>
      <c r="G50" s="334" t="s">
        <v>483</v>
      </c>
      <c r="H50" s="29"/>
    </row>
    <row r="51" spans="1:8" s="13" customFormat="1" ht="13.5" thickBot="1" x14ac:dyDescent="0.3">
      <c r="A51" s="541"/>
      <c r="B51" s="542"/>
      <c r="C51" s="515" t="s">
        <v>115</v>
      </c>
      <c r="D51" s="516"/>
      <c r="E51" s="29"/>
      <c r="F51" s="343" t="s">
        <v>484</v>
      </c>
      <c r="G51" s="343" t="s">
        <v>484</v>
      </c>
      <c r="H51" s="29"/>
    </row>
    <row r="52" spans="1:8" s="13" customFormat="1" x14ac:dyDescent="0.25">
      <c r="A52" s="517" t="s">
        <v>10</v>
      </c>
      <c r="B52" s="519" t="s">
        <v>217</v>
      </c>
      <c r="C52" s="521" t="s">
        <v>116</v>
      </c>
      <c r="D52" s="522"/>
      <c r="E52" s="29"/>
      <c r="F52" s="367">
        <v>5</v>
      </c>
      <c r="G52" s="367">
        <v>5</v>
      </c>
      <c r="H52" s="29"/>
    </row>
    <row r="53" spans="1:8" s="13" customFormat="1" x14ac:dyDescent="0.25">
      <c r="A53" s="525"/>
      <c r="B53" s="526"/>
      <c r="C53" s="527" t="s">
        <v>117</v>
      </c>
      <c r="D53" s="528"/>
      <c r="E53" s="29"/>
      <c r="F53" s="334" t="s">
        <v>341</v>
      </c>
      <c r="G53" s="334" t="s">
        <v>341</v>
      </c>
      <c r="H53" s="29"/>
    </row>
    <row r="54" spans="1:8" s="13" customFormat="1" ht="26.25" thickBot="1" x14ac:dyDescent="0.3">
      <c r="A54" s="525"/>
      <c r="B54" s="526"/>
      <c r="C54" s="523" t="s">
        <v>71</v>
      </c>
      <c r="D54" s="524"/>
      <c r="E54" s="29"/>
      <c r="F54" s="329" t="s">
        <v>467</v>
      </c>
      <c r="G54" s="329" t="s">
        <v>467</v>
      </c>
      <c r="H54" s="29"/>
    </row>
    <row r="55" spans="1:8" s="13" customFormat="1" ht="80.099999999999994" customHeight="1" thickBot="1" x14ac:dyDescent="0.3">
      <c r="A55" s="48" t="s">
        <v>9</v>
      </c>
      <c r="B55" s="23" t="s">
        <v>254</v>
      </c>
      <c r="C55" s="529"/>
      <c r="D55" s="530"/>
      <c r="E55" s="29"/>
      <c r="F55" s="367"/>
      <c r="G55" s="367"/>
      <c r="H55" s="29"/>
    </row>
    <row r="56" spans="1:8" s="13" customFormat="1" ht="29.45" customHeight="1" thickBot="1" x14ac:dyDescent="0.3">
      <c r="A56" s="47" t="s">
        <v>253</v>
      </c>
      <c r="B56" s="23" t="s">
        <v>252</v>
      </c>
      <c r="C56" s="531"/>
      <c r="D56" s="532"/>
      <c r="E56" s="30"/>
      <c r="F56" s="384"/>
      <c r="G56" s="384"/>
      <c r="H56" s="30"/>
    </row>
    <row r="57" spans="1:8" s="13" customFormat="1" ht="25.5" x14ac:dyDescent="0.25">
      <c r="A57" s="517" t="s">
        <v>25</v>
      </c>
      <c r="B57" s="519" t="s">
        <v>93</v>
      </c>
      <c r="C57" s="521" t="s">
        <v>72</v>
      </c>
      <c r="D57" s="522"/>
      <c r="E57" s="29"/>
      <c r="F57" s="367" t="s">
        <v>492</v>
      </c>
      <c r="G57" s="367" t="s">
        <v>492</v>
      </c>
      <c r="H57" s="29"/>
    </row>
    <row r="58" spans="1:8" s="13" customFormat="1" ht="60.6" customHeight="1" thickBot="1" x14ac:dyDescent="0.3">
      <c r="A58" s="518"/>
      <c r="B58" s="520"/>
      <c r="C58" s="515" t="s">
        <v>73</v>
      </c>
      <c r="D58" s="516"/>
      <c r="E58" s="29"/>
      <c r="F58" s="343">
        <v>200</v>
      </c>
      <c r="G58" s="343">
        <v>200</v>
      </c>
      <c r="H58" s="29"/>
    </row>
    <row r="59" spans="1:8" s="13" customFormat="1" x14ac:dyDescent="0.25">
      <c r="A59" s="517" t="s">
        <v>26</v>
      </c>
      <c r="B59" s="519" t="s">
        <v>251</v>
      </c>
      <c r="C59" s="521" t="s">
        <v>74</v>
      </c>
      <c r="D59" s="522"/>
      <c r="E59" s="29"/>
      <c r="F59" s="367" t="s">
        <v>493</v>
      </c>
      <c r="G59" s="367" t="s">
        <v>493</v>
      </c>
      <c r="H59" s="29"/>
    </row>
    <row r="60" spans="1:8" s="13" customFormat="1" x14ac:dyDescent="0.25">
      <c r="A60" s="525"/>
      <c r="B60" s="526"/>
      <c r="C60" s="527" t="s">
        <v>75</v>
      </c>
      <c r="D60" s="528"/>
      <c r="E60" s="29"/>
      <c r="F60" s="334">
        <v>3</v>
      </c>
      <c r="G60" s="334">
        <v>3</v>
      </c>
      <c r="H60" s="29"/>
    </row>
    <row r="61" spans="1:8" s="13" customFormat="1" ht="32.25" customHeight="1" thickBot="1" x14ac:dyDescent="0.3">
      <c r="A61" s="518"/>
      <c r="B61" s="520"/>
      <c r="C61" s="515" t="s">
        <v>250</v>
      </c>
      <c r="D61" s="516"/>
      <c r="E61" s="29"/>
      <c r="F61" s="343" t="s">
        <v>494</v>
      </c>
      <c r="G61" s="343" t="s">
        <v>494</v>
      </c>
      <c r="H61" s="29"/>
    </row>
    <row r="62" spans="1:8" s="13" customFormat="1" ht="16.5" customHeight="1" thickBot="1" x14ac:dyDescent="0.3">
      <c r="A62" s="47" t="s">
        <v>44</v>
      </c>
      <c r="B62" s="25" t="s">
        <v>45</v>
      </c>
      <c r="C62" s="531"/>
      <c r="D62" s="532"/>
      <c r="E62" s="30"/>
      <c r="F62" s="384"/>
      <c r="G62" s="384"/>
      <c r="H62" s="30"/>
    </row>
    <row r="63" spans="1:8" s="13" customFormat="1" ht="28.5" customHeight="1" thickBot="1" x14ac:dyDescent="0.3">
      <c r="A63" s="47" t="s">
        <v>44</v>
      </c>
      <c r="B63" s="25" t="s">
        <v>63</v>
      </c>
      <c r="C63" s="531"/>
      <c r="D63" s="532"/>
      <c r="E63" s="30"/>
      <c r="F63" s="384"/>
      <c r="G63" s="384"/>
      <c r="H63" s="30"/>
    </row>
    <row r="64" spans="1:8" s="13" customFormat="1" ht="29.1" customHeight="1" thickBot="1" x14ac:dyDescent="0.3">
      <c r="A64" s="47" t="s">
        <v>44</v>
      </c>
      <c r="B64" s="25" t="s">
        <v>64</v>
      </c>
      <c r="C64" s="531"/>
      <c r="D64" s="532"/>
      <c r="E64" s="30"/>
      <c r="F64" s="384"/>
      <c r="G64" s="384"/>
      <c r="H64" s="30"/>
    </row>
    <row r="65" spans="1:8" s="13" customFormat="1" ht="27.95" customHeight="1" thickBot="1" x14ac:dyDescent="0.3">
      <c r="A65" s="47" t="s">
        <v>50</v>
      </c>
      <c r="B65" s="25" t="s">
        <v>216</v>
      </c>
      <c r="C65" s="531"/>
      <c r="D65" s="532"/>
      <c r="E65" s="30"/>
      <c r="F65" s="384"/>
      <c r="G65" s="384"/>
      <c r="H65" s="30"/>
    </row>
    <row r="66" spans="1:8" s="13" customFormat="1" ht="15.95" customHeight="1" thickBot="1" x14ac:dyDescent="0.3">
      <c r="A66" s="47" t="s">
        <v>27</v>
      </c>
      <c r="B66" s="25" t="s">
        <v>215</v>
      </c>
      <c r="C66" s="543" t="s">
        <v>77</v>
      </c>
      <c r="D66" s="544"/>
      <c r="E66" s="29"/>
      <c r="F66" s="373" t="s">
        <v>495</v>
      </c>
      <c r="G66" s="373" t="s">
        <v>495</v>
      </c>
      <c r="H66" s="29"/>
    </row>
    <row r="67" spans="1:8" s="13" customFormat="1" ht="54.6" customHeight="1" thickBot="1" x14ac:dyDescent="0.3">
      <c r="A67" s="47" t="s">
        <v>214</v>
      </c>
      <c r="B67" s="25" t="s">
        <v>213</v>
      </c>
      <c r="C67" s="543"/>
      <c r="D67" s="544"/>
      <c r="E67" s="29"/>
      <c r="F67" s="373"/>
      <c r="G67" s="373"/>
      <c r="H67" s="29"/>
    </row>
    <row r="68" spans="1:8" s="13" customFormat="1" ht="15" customHeight="1" x14ac:dyDescent="0.25">
      <c r="A68" s="517" t="s">
        <v>28</v>
      </c>
      <c r="B68" s="519" t="s">
        <v>264</v>
      </c>
      <c r="C68" s="749" t="s">
        <v>248</v>
      </c>
      <c r="D68" s="522"/>
      <c r="E68" s="29"/>
      <c r="F68" s="367">
        <v>60</v>
      </c>
      <c r="G68" s="367" t="s">
        <v>502</v>
      </c>
      <c r="H68" s="29"/>
    </row>
    <row r="69" spans="1:8" s="13" customFormat="1" ht="29.25" customHeight="1" thickBot="1" x14ac:dyDescent="0.3">
      <c r="A69" s="518"/>
      <c r="B69" s="520"/>
      <c r="C69" s="584" t="s">
        <v>247</v>
      </c>
      <c r="D69" s="516"/>
      <c r="E69" s="29"/>
      <c r="F69" s="343" t="s">
        <v>501</v>
      </c>
      <c r="G69" s="343" t="s">
        <v>503</v>
      </c>
      <c r="H69" s="29"/>
    </row>
    <row r="70" spans="1:8" s="13" customFormat="1" ht="42" customHeight="1" thickBot="1" x14ac:dyDescent="0.3">
      <c r="A70" s="47" t="s">
        <v>51</v>
      </c>
      <c r="B70" s="25" t="s">
        <v>212</v>
      </c>
      <c r="C70" s="531"/>
      <c r="D70" s="532"/>
      <c r="E70" s="30"/>
      <c r="F70" s="373"/>
      <c r="G70" s="373"/>
      <c r="H70" s="30"/>
    </row>
    <row r="71" spans="1:8" s="13" customFormat="1" ht="42" customHeight="1" thickBot="1" x14ac:dyDescent="0.3">
      <c r="A71" s="47" t="s">
        <v>54</v>
      </c>
      <c r="B71" s="25" t="s">
        <v>80</v>
      </c>
      <c r="C71" s="531"/>
      <c r="D71" s="532"/>
      <c r="E71" s="30"/>
      <c r="F71" s="373"/>
      <c r="G71" s="373"/>
      <c r="H71" s="30"/>
    </row>
    <row r="72" spans="1:8" s="13" customFormat="1" ht="79.5" customHeight="1" thickBot="1" x14ac:dyDescent="0.3">
      <c r="A72" s="47" t="s">
        <v>29</v>
      </c>
      <c r="B72" s="25" t="s">
        <v>211</v>
      </c>
      <c r="C72" s="531"/>
      <c r="D72" s="532"/>
      <c r="E72" s="30"/>
      <c r="F72" s="373"/>
      <c r="G72" s="373"/>
      <c r="H72" s="30"/>
    </row>
    <row r="73" spans="1:8" s="13" customFormat="1" ht="53.1" customHeight="1" thickBot="1" x14ac:dyDescent="0.3">
      <c r="A73" s="47" t="s">
        <v>31</v>
      </c>
      <c r="B73" s="25" t="s">
        <v>210</v>
      </c>
      <c r="C73" s="543" t="s">
        <v>30</v>
      </c>
      <c r="D73" s="544"/>
      <c r="E73" s="29"/>
      <c r="F73" s="373" t="s">
        <v>408</v>
      </c>
      <c r="G73" s="373" t="s">
        <v>408</v>
      </c>
      <c r="H73" s="29"/>
    </row>
    <row r="74" spans="1:8" s="13" customFormat="1" ht="28.5" customHeight="1" thickBot="1" x14ac:dyDescent="0.3">
      <c r="A74" s="47" t="s">
        <v>55</v>
      </c>
      <c r="B74" s="25" t="s">
        <v>95</v>
      </c>
      <c r="C74" s="531"/>
      <c r="D74" s="532"/>
      <c r="E74" s="30"/>
      <c r="F74" s="373"/>
      <c r="G74" s="373"/>
      <c r="H74" s="30"/>
    </row>
    <row r="75" spans="1:8" s="13" customFormat="1" ht="30" customHeight="1" thickBot="1" x14ac:dyDescent="0.3">
      <c r="A75" s="47" t="s">
        <v>32</v>
      </c>
      <c r="B75" s="25" t="s">
        <v>96</v>
      </c>
      <c r="C75" s="543" t="s">
        <v>30</v>
      </c>
      <c r="D75" s="544"/>
      <c r="E75" s="29"/>
      <c r="F75" s="373" t="s">
        <v>471</v>
      </c>
      <c r="G75" s="373" t="s">
        <v>471</v>
      </c>
      <c r="H75" s="29"/>
    </row>
    <row r="76" spans="1:8" s="13" customFormat="1" ht="40.5" customHeight="1" thickBot="1" x14ac:dyDescent="0.3">
      <c r="A76" s="47" t="s">
        <v>56</v>
      </c>
      <c r="B76" s="25" t="s">
        <v>167</v>
      </c>
      <c r="C76" s="531"/>
      <c r="D76" s="532"/>
      <c r="E76" s="30"/>
      <c r="F76" s="373"/>
      <c r="G76" s="373"/>
      <c r="H76" s="30"/>
    </row>
    <row r="77" spans="1:8" s="13" customFormat="1" ht="29.45" customHeight="1" thickBot="1" x14ac:dyDescent="0.3">
      <c r="A77" s="47" t="s">
        <v>48</v>
      </c>
      <c r="B77" s="25" t="s">
        <v>47</v>
      </c>
      <c r="C77" s="531"/>
      <c r="D77" s="532"/>
      <c r="E77" s="30"/>
      <c r="F77" s="373"/>
      <c r="G77" s="373"/>
      <c r="H77" s="30"/>
    </row>
    <row r="78" spans="1:8" s="13" customFormat="1" ht="28.5" customHeight="1" thickBot="1" x14ac:dyDescent="0.3">
      <c r="A78" s="47" t="s">
        <v>49</v>
      </c>
      <c r="B78" s="25" t="s">
        <v>103</v>
      </c>
      <c r="C78" s="531"/>
      <c r="D78" s="532"/>
      <c r="E78" s="30"/>
      <c r="F78" s="373"/>
      <c r="G78" s="373"/>
      <c r="H78" s="30"/>
    </row>
    <row r="79" spans="1:8" s="13" customFormat="1" ht="26.25" thickBot="1" x14ac:dyDescent="0.3">
      <c r="A79" s="47" t="s">
        <v>46</v>
      </c>
      <c r="B79" s="25" t="s">
        <v>318</v>
      </c>
      <c r="C79" s="531"/>
      <c r="D79" s="532"/>
      <c r="E79" s="30"/>
      <c r="F79" s="373"/>
      <c r="G79" s="373"/>
      <c r="H79" s="30"/>
    </row>
    <row r="80" spans="1:8" ht="13.5" thickBot="1" x14ac:dyDescent="0.25"/>
    <row r="81" spans="1:7" s="16" customFormat="1" ht="18" customHeight="1" thickBot="1" x14ac:dyDescent="0.3">
      <c r="A81" s="536" t="s">
        <v>168</v>
      </c>
      <c r="B81" s="537"/>
      <c r="C81" s="537"/>
      <c r="D81" s="538"/>
      <c r="E81" s="33"/>
      <c r="F81" s="836" t="s">
        <v>334</v>
      </c>
      <c r="G81" s="837"/>
    </row>
    <row r="82" spans="1:7" s="3" customFormat="1" ht="15" customHeight="1" thickBot="1" x14ac:dyDescent="0.3">
      <c r="A82" s="545" t="s">
        <v>169</v>
      </c>
      <c r="B82" s="546"/>
      <c r="C82" s="546"/>
      <c r="D82" s="547"/>
      <c r="E82" s="34"/>
      <c r="F82" s="415" t="s">
        <v>19</v>
      </c>
      <c r="G82" s="415" t="s">
        <v>429</v>
      </c>
    </row>
    <row r="83" spans="1:7" s="13" customFormat="1" ht="12.75" customHeight="1" x14ac:dyDescent="0.25">
      <c r="A83" s="548" t="s">
        <v>83</v>
      </c>
      <c r="B83" s="549"/>
      <c r="C83" s="549"/>
      <c r="D83" s="550"/>
      <c r="E83" s="30"/>
      <c r="F83" s="420">
        <f>-1010*('PPI Adj'!D6)</f>
        <v>-1178.67</v>
      </c>
      <c r="G83" s="420">
        <f>-1010*('PPI Adj'!D6)</f>
        <v>-1178.67</v>
      </c>
    </row>
    <row r="84" spans="1:7" s="13" customFormat="1" ht="12.75" customHeight="1" x14ac:dyDescent="0.25">
      <c r="A84" s="551" t="s">
        <v>34</v>
      </c>
      <c r="B84" s="552"/>
      <c r="C84" s="552"/>
      <c r="D84" s="553"/>
      <c r="E84" s="29"/>
      <c r="F84" s="421">
        <f>678*('PPI Adj'!D6)</f>
        <v>791.226</v>
      </c>
      <c r="G84" s="421">
        <f>678*('PPI Adj'!D6)</f>
        <v>791.226</v>
      </c>
    </row>
    <row r="85" spans="1:7" s="13" customFormat="1" x14ac:dyDescent="0.25">
      <c r="A85" s="551" t="s">
        <v>35</v>
      </c>
      <c r="B85" s="552"/>
      <c r="C85" s="552"/>
      <c r="D85" s="553"/>
      <c r="E85" s="30"/>
      <c r="F85" s="421">
        <f>457*('PPI Adj'!D6)</f>
        <v>533.31900000000007</v>
      </c>
      <c r="G85" s="421">
        <f>457*('PPI Adj'!D6)</f>
        <v>533.31900000000007</v>
      </c>
    </row>
    <row r="86" spans="1:7" s="13" customFormat="1" x14ac:dyDescent="0.25">
      <c r="A86" s="551" t="s">
        <v>36</v>
      </c>
      <c r="B86" s="552"/>
      <c r="C86" s="552"/>
      <c r="D86" s="553"/>
      <c r="E86" s="29"/>
      <c r="F86" s="421">
        <f>738*('PPI Adj'!D6)</f>
        <v>861.24599999999998</v>
      </c>
      <c r="G86" s="421">
        <f>738*('PPI Adj'!D6)</f>
        <v>861.24599999999998</v>
      </c>
    </row>
    <row r="87" spans="1:7" s="13" customFormat="1" x14ac:dyDescent="0.25">
      <c r="A87" s="551" t="s">
        <v>60</v>
      </c>
      <c r="B87" s="552"/>
      <c r="C87" s="552"/>
      <c r="D87" s="553"/>
      <c r="E87" s="29"/>
      <c r="F87" s="421">
        <f>95*('PPI Adj'!D6)</f>
        <v>110.86500000000001</v>
      </c>
      <c r="G87" s="421">
        <f>95*('PPI Adj'!D6)</f>
        <v>110.86500000000001</v>
      </c>
    </row>
    <row r="88" spans="1:7" s="13" customFormat="1" x14ac:dyDescent="0.25">
      <c r="A88" s="551" t="s">
        <v>61</v>
      </c>
      <c r="B88" s="552"/>
      <c r="C88" s="552"/>
      <c r="D88" s="553"/>
      <c r="E88" s="29"/>
      <c r="F88" s="421">
        <f>386*('PPI Adj'!D6)</f>
        <v>450.46199999999999</v>
      </c>
      <c r="G88" s="421">
        <f>386*('PPI Adj'!D6)</f>
        <v>450.46199999999999</v>
      </c>
    </row>
    <row r="89" spans="1:7" s="13" customFormat="1" ht="12.75" customHeight="1" x14ac:dyDescent="0.25">
      <c r="A89" s="551" t="s">
        <v>86</v>
      </c>
      <c r="B89" s="552"/>
      <c r="C89" s="552"/>
      <c r="D89" s="553"/>
      <c r="E89" s="29"/>
      <c r="F89" s="421">
        <f>856*('PPI Adj'!D6)</f>
        <v>998.952</v>
      </c>
      <c r="G89" s="421">
        <f>856*('PPI Adj'!D6)</f>
        <v>998.952</v>
      </c>
    </row>
    <row r="90" spans="1:7" ht="12.75" customHeight="1" x14ac:dyDescent="0.2">
      <c r="A90" s="551" t="s">
        <v>85</v>
      </c>
      <c r="B90" s="552"/>
      <c r="C90" s="552"/>
      <c r="D90" s="553"/>
      <c r="E90" s="29"/>
      <c r="F90" s="421">
        <f>7550.4*('PPI Adj'!D6)</f>
        <v>8811.3168000000005</v>
      </c>
      <c r="G90" s="421">
        <f>7550.4*('PPI Adj'!D6)</f>
        <v>8811.3168000000005</v>
      </c>
    </row>
    <row r="91" spans="1:7" x14ac:dyDescent="0.2">
      <c r="A91" s="551" t="s">
        <v>13</v>
      </c>
      <c r="B91" s="552"/>
      <c r="C91" s="552"/>
      <c r="D91" s="553"/>
      <c r="E91" s="29"/>
      <c r="F91" s="421">
        <f>10801*('PPI Adj'!D6)</f>
        <v>12604.767</v>
      </c>
      <c r="G91" s="421">
        <f>10801*('PPI Adj'!D6)</f>
        <v>12604.767</v>
      </c>
    </row>
    <row r="92" spans="1:7" ht="12.75" customHeight="1" x14ac:dyDescent="0.2">
      <c r="A92" s="551" t="s">
        <v>37</v>
      </c>
      <c r="B92" s="552"/>
      <c r="C92" s="552"/>
      <c r="D92" s="553"/>
      <c r="E92" s="30"/>
      <c r="F92" s="421">
        <f>1000*('PPI Adj'!D6)</f>
        <v>1167</v>
      </c>
      <c r="G92" s="421">
        <f>1000*('PPI Adj'!D6)</f>
        <v>1167</v>
      </c>
    </row>
    <row r="93" spans="1:7" x14ac:dyDescent="0.2">
      <c r="A93" s="551" t="s">
        <v>38</v>
      </c>
      <c r="B93" s="552"/>
      <c r="C93" s="552"/>
      <c r="D93" s="553"/>
      <c r="E93" s="30"/>
      <c r="F93" s="421">
        <f>787*('PPI Adj'!D6)</f>
        <v>918.42899999999997</v>
      </c>
      <c r="G93" s="421">
        <f>787*('PPI Adj'!D6)</f>
        <v>918.42899999999997</v>
      </c>
    </row>
    <row r="94" spans="1:7" x14ac:dyDescent="0.2">
      <c r="A94" s="551" t="s">
        <v>201</v>
      </c>
      <c r="B94" s="552"/>
      <c r="C94" s="552"/>
      <c r="D94" s="553"/>
      <c r="E94" s="30"/>
      <c r="F94" s="421" t="s">
        <v>183</v>
      </c>
      <c r="G94" s="421" t="s">
        <v>183</v>
      </c>
    </row>
    <row r="95" spans="1:7" x14ac:dyDescent="0.2">
      <c r="A95" s="551" t="s">
        <v>39</v>
      </c>
      <c r="B95" s="552"/>
      <c r="C95" s="552"/>
      <c r="D95" s="553"/>
      <c r="E95" s="29"/>
      <c r="F95" s="421">
        <f>678*('PPI Adj'!D6)</f>
        <v>791.226</v>
      </c>
      <c r="G95" s="421">
        <f>678*('PPI Adj'!D6)</f>
        <v>791.226</v>
      </c>
    </row>
    <row r="96" spans="1:7" ht="12.75" customHeight="1" x14ac:dyDescent="0.2">
      <c r="A96" s="551" t="s">
        <v>88</v>
      </c>
      <c r="B96" s="552"/>
      <c r="C96" s="552"/>
      <c r="D96" s="553"/>
      <c r="E96" s="29"/>
      <c r="F96" s="421">
        <f>4245*('PPI Adj'!D6)</f>
        <v>4953.915</v>
      </c>
      <c r="G96" s="421">
        <f>4245*('PPI Adj'!D6)</f>
        <v>4953.915</v>
      </c>
    </row>
    <row r="97" spans="1:7" x14ac:dyDescent="0.2">
      <c r="A97" s="551" t="s">
        <v>40</v>
      </c>
      <c r="B97" s="552"/>
      <c r="C97" s="552"/>
      <c r="D97" s="553"/>
      <c r="E97" s="29"/>
      <c r="F97" s="421">
        <f>225*('PPI Adj'!D6)</f>
        <v>262.57499999999999</v>
      </c>
      <c r="G97" s="421">
        <f>225*('PPI Adj'!D6)</f>
        <v>262.57499999999999</v>
      </c>
    </row>
    <row r="98" spans="1:7" x14ac:dyDescent="0.2">
      <c r="A98" s="551" t="s">
        <v>14</v>
      </c>
      <c r="B98" s="552"/>
      <c r="C98" s="552"/>
      <c r="D98" s="553"/>
      <c r="E98" s="29"/>
      <c r="F98" s="421">
        <f>9775.46*('PPI Adj'!D6)</f>
        <v>11407.961819999999</v>
      </c>
      <c r="G98" s="421">
        <f>9775.46*('PPI Adj'!D6)</f>
        <v>11407.961819999999</v>
      </c>
    </row>
    <row r="99" spans="1:7" ht="12.75" customHeight="1" x14ac:dyDescent="0.2">
      <c r="A99" s="551" t="s">
        <v>91</v>
      </c>
      <c r="B99" s="552"/>
      <c r="C99" s="552"/>
      <c r="D99" s="553"/>
      <c r="E99" s="29"/>
      <c r="F99" s="421">
        <f>1971*('PPI Adj'!D6)</f>
        <v>2300.1570000000002</v>
      </c>
      <c r="G99" s="421">
        <f>1971*('PPI Adj'!D6)</f>
        <v>2300.1570000000002</v>
      </c>
    </row>
    <row r="100" spans="1:7" x14ac:dyDescent="0.2">
      <c r="A100" s="557" t="s">
        <v>272</v>
      </c>
      <c r="B100" s="558"/>
      <c r="C100" s="558"/>
      <c r="D100" s="559"/>
      <c r="E100" s="29"/>
      <c r="F100" s="422">
        <f>-1036*('PPI Adj'!D6)</f>
        <v>-1209.0119999999999</v>
      </c>
      <c r="G100" s="422">
        <f>-1036*('PPI Adj'!D6)</f>
        <v>-1209.0119999999999</v>
      </c>
    </row>
    <row r="101" spans="1:7" ht="13.5" customHeight="1" thickBot="1" x14ac:dyDescent="0.25">
      <c r="A101" s="554" t="s">
        <v>92</v>
      </c>
      <c r="B101" s="555"/>
      <c r="C101" s="555"/>
      <c r="D101" s="556"/>
      <c r="E101" s="30"/>
      <c r="F101" s="423">
        <f>-2023*('PPI Adj'!D6)</f>
        <v>-2360.8409999999999</v>
      </c>
      <c r="G101" s="423">
        <f>-2023*('PPI Adj'!D6)</f>
        <v>-2360.8409999999999</v>
      </c>
    </row>
    <row r="102" spans="1:7" ht="13.5" thickBot="1" x14ac:dyDescent="0.25"/>
    <row r="103" spans="1:7" s="16" customFormat="1" ht="18" customHeight="1" thickBot="1" x14ac:dyDescent="0.3">
      <c r="A103" s="536" t="s">
        <v>166</v>
      </c>
      <c r="B103" s="537"/>
      <c r="C103" s="537"/>
      <c r="D103" s="538"/>
      <c r="E103" s="33"/>
      <c r="F103" s="836" t="s">
        <v>334</v>
      </c>
      <c r="G103" s="837"/>
    </row>
    <row r="104" spans="1:7" s="3" customFormat="1" ht="15" customHeight="1" thickBot="1" x14ac:dyDescent="0.3">
      <c r="A104" s="49" t="s">
        <v>33</v>
      </c>
      <c r="B104" s="19" t="s">
        <v>7</v>
      </c>
      <c r="C104" s="560" t="s">
        <v>165</v>
      </c>
      <c r="D104" s="561"/>
      <c r="E104" s="34"/>
      <c r="F104" s="415" t="s">
        <v>19</v>
      </c>
      <c r="G104" s="415" t="s">
        <v>429</v>
      </c>
    </row>
    <row r="105" spans="1:7" s="13" customFormat="1" ht="42" customHeight="1" thickBot="1" x14ac:dyDescent="0.3">
      <c r="A105" s="50" t="s">
        <v>83</v>
      </c>
      <c r="B105" s="18" t="s">
        <v>146</v>
      </c>
      <c r="C105" s="562"/>
      <c r="D105" s="563"/>
      <c r="E105" s="30"/>
      <c r="F105" s="373"/>
      <c r="G105" s="373"/>
    </row>
    <row r="106" spans="1:7" s="13" customFormat="1" ht="26.25" thickBot="1" x14ac:dyDescent="0.3">
      <c r="A106" s="47" t="s">
        <v>34</v>
      </c>
      <c r="B106" s="25" t="s">
        <v>107</v>
      </c>
      <c r="C106" s="543" t="s">
        <v>30</v>
      </c>
      <c r="D106" s="544"/>
      <c r="E106" s="29"/>
      <c r="F106" s="373" t="s">
        <v>349</v>
      </c>
      <c r="G106" s="373" t="s">
        <v>349</v>
      </c>
    </row>
    <row r="107" spans="1:7" s="13" customFormat="1" ht="53.45" customHeight="1" thickBot="1" x14ac:dyDescent="0.3">
      <c r="A107" s="47" t="s">
        <v>35</v>
      </c>
      <c r="B107" s="25" t="s">
        <v>97</v>
      </c>
      <c r="C107" s="531"/>
      <c r="D107" s="532"/>
      <c r="E107" s="30"/>
      <c r="F107" s="373"/>
      <c r="G107" s="373"/>
    </row>
    <row r="108" spans="1:7" s="13" customFormat="1" ht="30" customHeight="1" thickBot="1" x14ac:dyDescent="0.3">
      <c r="A108" s="47" t="s">
        <v>36</v>
      </c>
      <c r="B108" s="25" t="s">
        <v>84</v>
      </c>
      <c r="C108" s="543" t="s">
        <v>99</v>
      </c>
      <c r="D108" s="544"/>
      <c r="E108" s="29"/>
      <c r="F108" s="373" t="s">
        <v>410</v>
      </c>
      <c r="G108" s="373" t="s">
        <v>410</v>
      </c>
    </row>
    <row r="109" spans="1:7" s="13" customFormat="1" ht="12.75" customHeight="1" x14ac:dyDescent="0.25">
      <c r="A109" s="517" t="s">
        <v>60</v>
      </c>
      <c r="B109" s="519" t="s">
        <v>133</v>
      </c>
      <c r="C109" s="521" t="s">
        <v>203</v>
      </c>
      <c r="D109" s="522"/>
      <c r="E109" s="29"/>
      <c r="F109" s="367" t="s">
        <v>413</v>
      </c>
      <c r="G109" s="367" t="s">
        <v>413</v>
      </c>
    </row>
    <row r="110" spans="1:7" s="13" customFormat="1" x14ac:dyDescent="0.25">
      <c r="A110" s="525"/>
      <c r="B110" s="526"/>
      <c r="C110" s="527" t="s">
        <v>202</v>
      </c>
      <c r="D110" s="528"/>
      <c r="E110" s="29"/>
      <c r="F110" s="334">
        <v>6005</v>
      </c>
      <c r="G110" s="334">
        <v>6005</v>
      </c>
    </row>
    <row r="111" spans="1:7" s="13" customFormat="1" x14ac:dyDescent="0.25">
      <c r="A111" s="525"/>
      <c r="B111" s="526"/>
      <c r="C111" s="527" t="s">
        <v>114</v>
      </c>
      <c r="D111" s="528"/>
      <c r="E111" s="29"/>
      <c r="F111" s="334" t="s">
        <v>485</v>
      </c>
      <c r="G111" s="334" t="s">
        <v>485</v>
      </c>
    </row>
    <row r="112" spans="1:7" s="13" customFormat="1" ht="30.75" customHeight="1" thickBot="1" x14ac:dyDescent="0.3">
      <c r="A112" s="518"/>
      <c r="B112" s="520"/>
      <c r="C112" s="515" t="s">
        <v>115</v>
      </c>
      <c r="D112" s="516"/>
      <c r="E112" s="29"/>
      <c r="F112" s="343" t="s">
        <v>473</v>
      </c>
      <c r="G112" s="343" t="s">
        <v>473</v>
      </c>
    </row>
    <row r="113" spans="1:7" s="13" customFormat="1" ht="12.75" customHeight="1" x14ac:dyDescent="0.25">
      <c r="A113" s="517" t="s">
        <v>61</v>
      </c>
      <c r="B113" s="519" t="s">
        <v>206</v>
      </c>
      <c r="C113" s="521" t="s">
        <v>205</v>
      </c>
      <c r="D113" s="522"/>
      <c r="E113" s="29"/>
      <c r="F113" s="367" t="s">
        <v>474</v>
      </c>
      <c r="G113" s="367" t="s">
        <v>474</v>
      </c>
    </row>
    <row r="114" spans="1:7" s="13" customFormat="1" x14ac:dyDescent="0.25">
      <c r="A114" s="525"/>
      <c r="B114" s="526"/>
      <c r="C114" s="527" t="s">
        <v>204</v>
      </c>
      <c r="D114" s="528"/>
      <c r="E114" s="29"/>
      <c r="F114" s="419">
        <v>6610</v>
      </c>
      <c r="G114" s="419">
        <v>6610</v>
      </c>
    </row>
    <row r="115" spans="1:7" s="13" customFormat="1" x14ac:dyDescent="0.25">
      <c r="A115" s="525"/>
      <c r="B115" s="526"/>
      <c r="C115" s="527" t="s">
        <v>203</v>
      </c>
      <c r="D115" s="528"/>
      <c r="E115" s="29"/>
      <c r="F115" s="419" t="s">
        <v>474</v>
      </c>
      <c r="G115" s="419" t="s">
        <v>474</v>
      </c>
    </row>
    <row r="116" spans="1:7" s="13" customFormat="1" x14ac:dyDescent="0.25">
      <c r="A116" s="525"/>
      <c r="B116" s="526"/>
      <c r="C116" s="527" t="s">
        <v>202</v>
      </c>
      <c r="D116" s="528"/>
      <c r="E116" s="29"/>
      <c r="F116" s="334">
        <v>6005</v>
      </c>
      <c r="G116" s="334">
        <v>6005</v>
      </c>
    </row>
    <row r="117" spans="1:7" s="13" customFormat="1" x14ac:dyDescent="0.25">
      <c r="A117" s="525"/>
      <c r="B117" s="526"/>
      <c r="C117" s="527" t="s">
        <v>112</v>
      </c>
      <c r="D117" s="528"/>
      <c r="E117" s="29"/>
      <c r="F117" s="334" t="s">
        <v>475</v>
      </c>
      <c r="G117" s="334" t="s">
        <v>475</v>
      </c>
    </row>
    <row r="118" spans="1:7" s="13" customFormat="1" x14ac:dyDescent="0.25">
      <c r="A118" s="525"/>
      <c r="B118" s="526"/>
      <c r="C118" s="527" t="s">
        <v>113</v>
      </c>
      <c r="D118" s="528"/>
      <c r="E118" s="29"/>
      <c r="F118" s="419" t="s">
        <v>415</v>
      </c>
      <c r="G118" s="419" t="s">
        <v>415</v>
      </c>
    </row>
    <row r="119" spans="1:7" s="13" customFormat="1" x14ac:dyDescent="0.25">
      <c r="A119" s="525"/>
      <c r="B119" s="526"/>
      <c r="C119" s="527" t="s">
        <v>114</v>
      </c>
      <c r="D119" s="528"/>
      <c r="E119" s="29"/>
      <c r="F119" s="419" t="s">
        <v>475</v>
      </c>
      <c r="G119" s="419" t="s">
        <v>475</v>
      </c>
    </row>
    <row r="120" spans="1:7" s="13" customFormat="1" ht="13.5" thickBot="1" x14ac:dyDescent="0.3">
      <c r="A120" s="518"/>
      <c r="B120" s="520"/>
      <c r="C120" s="515" t="s">
        <v>115</v>
      </c>
      <c r="D120" s="516"/>
      <c r="E120" s="29"/>
      <c r="F120" s="343" t="s">
        <v>415</v>
      </c>
      <c r="G120" s="343" t="s">
        <v>415</v>
      </c>
    </row>
    <row r="121" spans="1:7" s="13" customFormat="1" ht="146.44999999999999" customHeight="1" thickBot="1" x14ac:dyDescent="0.3">
      <c r="A121" s="51" t="s">
        <v>86</v>
      </c>
      <c r="B121" s="17" t="s">
        <v>143</v>
      </c>
      <c r="C121" s="543" t="s">
        <v>104</v>
      </c>
      <c r="D121" s="544"/>
      <c r="E121" s="29"/>
      <c r="F121" s="367" t="s">
        <v>476</v>
      </c>
      <c r="G121" s="367" t="s">
        <v>476</v>
      </c>
    </row>
    <row r="122" spans="1:7" ht="168.6" customHeight="1" thickBot="1" x14ac:dyDescent="0.25">
      <c r="A122" s="47" t="s">
        <v>85</v>
      </c>
      <c r="B122" s="14" t="s">
        <v>170</v>
      </c>
      <c r="C122" s="543" t="s">
        <v>104</v>
      </c>
      <c r="D122" s="544"/>
      <c r="E122" s="29"/>
      <c r="F122" s="373" t="s">
        <v>477</v>
      </c>
      <c r="G122" s="373" t="s">
        <v>477</v>
      </c>
    </row>
    <row r="123" spans="1:7" x14ac:dyDescent="0.2">
      <c r="A123" s="517" t="s">
        <v>13</v>
      </c>
      <c r="B123" s="519" t="s">
        <v>98</v>
      </c>
      <c r="C123" s="521" t="s">
        <v>30</v>
      </c>
      <c r="D123" s="522"/>
      <c r="E123" s="29"/>
      <c r="F123" s="367" t="s">
        <v>358</v>
      </c>
      <c r="G123" s="367" t="s">
        <v>358</v>
      </c>
    </row>
    <row r="124" spans="1:7" ht="30.95" customHeight="1" thickBot="1" x14ac:dyDescent="0.25">
      <c r="A124" s="518"/>
      <c r="B124" s="520"/>
      <c r="C124" s="515" t="s">
        <v>109</v>
      </c>
      <c r="D124" s="516"/>
      <c r="E124" s="29"/>
      <c r="F124" s="343" t="s">
        <v>359</v>
      </c>
      <c r="G124" s="343" t="s">
        <v>359</v>
      </c>
    </row>
    <row r="125" spans="1:7" ht="65.45" customHeight="1" thickBot="1" x14ac:dyDescent="0.25">
      <c r="A125" s="47" t="s">
        <v>37</v>
      </c>
      <c r="B125" s="25" t="s">
        <v>135</v>
      </c>
      <c r="C125" s="531"/>
      <c r="D125" s="532"/>
      <c r="E125" s="30"/>
      <c r="F125" s="373" t="s">
        <v>375</v>
      </c>
      <c r="G125" s="373" t="s">
        <v>375</v>
      </c>
    </row>
    <row r="126" spans="1:7" ht="41.1" customHeight="1" thickBot="1" x14ac:dyDescent="0.25">
      <c r="A126" s="47" t="s">
        <v>38</v>
      </c>
      <c r="B126" s="25" t="s">
        <v>87</v>
      </c>
      <c r="C126" s="531"/>
      <c r="D126" s="532"/>
      <c r="E126" s="30"/>
      <c r="F126" s="373"/>
      <c r="G126" s="373"/>
    </row>
    <row r="127" spans="1:7" ht="17.45" customHeight="1" thickBot="1" x14ac:dyDescent="0.25">
      <c r="A127" s="47" t="s">
        <v>201</v>
      </c>
      <c r="B127" s="25" t="s">
        <v>200</v>
      </c>
      <c r="C127" s="543"/>
      <c r="D127" s="544"/>
      <c r="E127" s="29"/>
      <c r="F127" s="373"/>
      <c r="G127" s="373"/>
    </row>
    <row r="128" spans="1:7" ht="27" customHeight="1" thickBot="1" x14ac:dyDescent="0.25">
      <c r="A128" s="47" t="s">
        <v>39</v>
      </c>
      <c r="B128" s="25" t="s">
        <v>106</v>
      </c>
      <c r="C128" s="543" t="s">
        <v>105</v>
      </c>
      <c r="D128" s="544"/>
      <c r="E128" s="29"/>
      <c r="F128" s="373" t="s">
        <v>323</v>
      </c>
      <c r="G128" s="373" t="s">
        <v>323</v>
      </c>
    </row>
    <row r="129" spans="1:7" x14ac:dyDescent="0.2">
      <c r="A129" s="517" t="s">
        <v>88</v>
      </c>
      <c r="B129" s="519" t="s">
        <v>148</v>
      </c>
      <c r="C129" s="521" t="s">
        <v>100</v>
      </c>
      <c r="D129" s="522"/>
      <c r="E129" s="29"/>
      <c r="F129" s="367" t="s">
        <v>420</v>
      </c>
      <c r="G129" s="367" t="s">
        <v>420</v>
      </c>
    </row>
    <row r="130" spans="1:7" ht="108" customHeight="1" thickBot="1" x14ac:dyDescent="0.25">
      <c r="A130" s="518"/>
      <c r="B130" s="520"/>
      <c r="C130" s="515" t="s">
        <v>110</v>
      </c>
      <c r="D130" s="516"/>
      <c r="E130" s="29"/>
      <c r="F130" s="424" t="s">
        <v>435</v>
      </c>
      <c r="G130" s="424" t="s">
        <v>435</v>
      </c>
    </row>
    <row r="131" spans="1:7" ht="26.25" thickBot="1" x14ac:dyDescent="0.25">
      <c r="A131" s="47" t="s">
        <v>40</v>
      </c>
      <c r="B131" s="25" t="s">
        <v>137</v>
      </c>
      <c r="C131" s="543" t="s">
        <v>100</v>
      </c>
      <c r="D131" s="544"/>
      <c r="E131" s="29"/>
      <c r="F131" s="343" t="s">
        <v>360</v>
      </c>
      <c r="G131" s="343" t="s">
        <v>360</v>
      </c>
    </row>
    <row r="132" spans="1:7" ht="57.95" customHeight="1" thickBot="1" x14ac:dyDescent="0.25">
      <c r="A132" s="47" t="s">
        <v>14</v>
      </c>
      <c r="B132" s="25" t="s">
        <v>138</v>
      </c>
      <c r="C132" s="543" t="s">
        <v>139</v>
      </c>
      <c r="D132" s="544"/>
      <c r="E132" s="29"/>
      <c r="F132" s="373">
        <v>2</v>
      </c>
      <c r="G132" s="373">
        <v>2</v>
      </c>
    </row>
    <row r="133" spans="1:7" ht="65.45" customHeight="1" thickBot="1" x14ac:dyDescent="0.25">
      <c r="A133" s="47" t="s">
        <v>91</v>
      </c>
      <c r="B133" s="25" t="s">
        <v>144</v>
      </c>
      <c r="C133" s="543" t="s">
        <v>100</v>
      </c>
      <c r="D133" s="544"/>
      <c r="E133" s="29"/>
      <c r="F133" s="373" t="s">
        <v>361</v>
      </c>
      <c r="G133" s="373" t="s">
        <v>361</v>
      </c>
    </row>
    <row r="134" spans="1:7" ht="68.45" customHeight="1" thickBot="1" x14ac:dyDescent="0.25">
      <c r="A134" s="47" t="s">
        <v>92</v>
      </c>
      <c r="B134" s="25" t="s">
        <v>145</v>
      </c>
      <c r="C134" s="531"/>
      <c r="D134" s="532"/>
      <c r="E134" s="30"/>
      <c r="F134" s="373"/>
      <c r="G134" s="373"/>
    </row>
  </sheetData>
  <sheetProtection algorithmName="SHA-512" hashValue="RxuytRShqZ+8gkJTtGEXAPU0nS/NBHi+JqeLBnj8f8zez045froDneltkt8GUF8PCMb2wkpmh9Z2zbL/gES76A==" saltValue="HdLdc71HWh3SE2urXX/v+Q==" spinCount="100000" sheet="1" objects="1" scenarios="1"/>
  <dataConsolidate/>
  <mergeCells count="158">
    <mergeCell ref="F103:G103"/>
    <mergeCell ref="C25:D25"/>
    <mergeCell ref="C26:D26"/>
    <mergeCell ref="A27:A28"/>
    <mergeCell ref="B27:B28"/>
    <mergeCell ref="C27:D27"/>
    <mergeCell ref="F6:G6"/>
    <mergeCell ref="F19:G19"/>
    <mergeCell ref="F24:G24"/>
    <mergeCell ref="F81:G81"/>
    <mergeCell ref="B13:D13"/>
    <mergeCell ref="B14:D14"/>
    <mergeCell ref="B15:D15"/>
    <mergeCell ref="B16:D16"/>
    <mergeCell ref="B17:D17"/>
    <mergeCell ref="A19:D19"/>
    <mergeCell ref="B21:D21"/>
    <mergeCell ref="B22:D22"/>
    <mergeCell ref="A24:D24"/>
    <mergeCell ref="B9:D9"/>
    <mergeCell ref="B10:D10"/>
    <mergeCell ref="B11:D11"/>
    <mergeCell ref="B12:D12"/>
    <mergeCell ref="A35:A36"/>
    <mergeCell ref="A3:D3"/>
    <mergeCell ref="A4:D4"/>
    <mergeCell ref="A6:D6"/>
    <mergeCell ref="B8:D8"/>
    <mergeCell ref="C28:D28"/>
    <mergeCell ref="C29:D29"/>
    <mergeCell ref="A30:A34"/>
    <mergeCell ref="B30:B34"/>
    <mergeCell ref="C30:D30"/>
    <mergeCell ref="C31:D31"/>
    <mergeCell ref="C32:D32"/>
    <mergeCell ref="C33:D33"/>
    <mergeCell ref="C34:D34"/>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9" priority="89">
      <formula>#REF!="NO"</formula>
    </cfRule>
  </conditionalFormatting>
  <conditionalFormatting sqref="C40:D42">
    <cfRule type="expression" dxfId="8" priority="44">
      <formula>$F$2="NO"</formula>
    </cfRule>
  </conditionalFormatting>
  <conditionalFormatting sqref="C26:E39">
    <cfRule type="expression" dxfId="7" priority="90">
      <formula>#REF!="NO"</formula>
    </cfRule>
  </conditionalFormatting>
  <conditionalFormatting sqref="C43:E79">
    <cfRule type="expression" dxfId="6" priority="43">
      <formula>#REF!="NO"</formula>
    </cfRule>
  </conditionalFormatting>
  <conditionalFormatting sqref="C105:G134">
    <cfRule type="expression" dxfId="5" priority="15">
      <formula>#REF!="NO"</formula>
    </cfRule>
  </conditionalFormatting>
  <conditionalFormatting sqref="E40:E42">
    <cfRule type="expression" dxfId="4" priority="48">
      <formula>#REF!="NO"</formula>
    </cfRule>
  </conditionalFormatting>
  <conditionalFormatting sqref="E83:G101">
    <cfRule type="expression" dxfId="3" priority="1">
      <formula>#REF!="NO"</formula>
    </cfRule>
  </conditionalFormatting>
  <conditionalFormatting sqref="F8:G17">
    <cfRule type="expression" dxfId="2" priority="26">
      <formula>#REF!="NO"</formula>
    </cfRule>
  </conditionalFormatting>
  <conditionalFormatting sqref="F21:G22">
    <cfRule type="expression" dxfId="1" priority="27">
      <formula>#REF!="NO"</formula>
    </cfRule>
  </conditionalFormatting>
  <conditionalFormatting sqref="F26:H79">
    <cfRule type="expression" dxfId="0" priority="13">
      <formula>#REF!="NO"</formula>
    </cfRule>
  </conditionalFormatting>
  <dataValidations disablePrompts="1" count="3">
    <dataValidation type="decimal" allowBlank="1" showInputMessage="1" showErrorMessage="1" error="The Additional Options NYS Discount entered must be greater than 0%, or less than or equal to 100%." sqref="F22:G22" xr:uid="{00000000-0002-0000-0D00-000002000000}">
      <formula1>0.01</formula1>
      <formula2>100</formula2>
    </dataValidation>
    <dataValidation type="decimal" allowBlank="1" showInputMessage="1" showErrorMessage="1" error="Invalid Entry - Bidder must enter a value that is greater than $0" sqref="F21:G21" xr:uid="{00000000-0002-0000-0D00-000001000000}">
      <formula1>0</formula1>
      <formula2>9E+21</formula2>
    </dataValidation>
    <dataValidation type="decimal" operator="greaterThanOrEqual" allowBlank="1" showInputMessage="1" showErrorMessage="1" error="The Pickup Allowance cannot be a negative number." sqref="F16:G16" xr:uid="{00000000-0002-0000-0D00-000000000000}">
      <formula1>0</formula1>
    </dataValidation>
  </dataValidations>
  <pageMargins left="0.25" right="0.25" top="0.5" bottom="0.25" header="0.3" footer="0.3"/>
  <pageSetup scale="81" fitToHeight="0" orientation="landscape" r:id="rId1"/>
  <rowBreaks count="2" manualBreakCount="2">
    <brk id="28" max="7" man="1"/>
    <brk id="5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P6"/>
  <sheetViews>
    <sheetView workbookViewId="0">
      <selection activeCell="B4" sqref="B4"/>
    </sheetView>
  </sheetViews>
  <sheetFormatPr defaultRowHeight="15" x14ac:dyDescent="0.25"/>
  <cols>
    <col min="2" max="2" width="12" bestFit="1" customWidth="1"/>
    <col min="6" max="6" width="12" bestFit="1" customWidth="1"/>
    <col min="10" max="10" width="12" bestFit="1" customWidth="1"/>
    <col min="14" max="16" width="9.140625" hidden="1" customWidth="1"/>
    <col min="17" max="18" width="9.140625" customWidth="1"/>
  </cols>
  <sheetData>
    <row r="1" spans="1:16" x14ac:dyDescent="0.25">
      <c r="A1" s="839" t="s">
        <v>671</v>
      </c>
      <c r="B1" s="839"/>
      <c r="C1" s="839"/>
      <c r="D1" s="839"/>
      <c r="F1" s="838" t="s">
        <v>665</v>
      </c>
      <c r="G1" s="838"/>
      <c r="H1" s="838"/>
      <c r="J1" s="838" t="s">
        <v>670</v>
      </c>
      <c r="K1" s="838"/>
      <c r="L1" s="838"/>
    </row>
    <row r="2" spans="1:16" x14ac:dyDescent="0.25">
      <c r="B2" s="250" t="s">
        <v>192</v>
      </c>
      <c r="C2" s="70"/>
      <c r="D2" s="71" t="s">
        <v>196</v>
      </c>
      <c r="F2" s="838"/>
      <c r="G2" s="838"/>
      <c r="H2" s="838"/>
      <c r="J2" s="838"/>
      <c r="K2" s="838"/>
      <c r="L2" s="838"/>
      <c r="M2" s="71"/>
      <c r="N2" s="6"/>
      <c r="O2" s="6"/>
      <c r="P2" s="6"/>
    </row>
    <row r="3" spans="1:16" ht="30" x14ac:dyDescent="0.25">
      <c r="B3" s="251" t="s">
        <v>273</v>
      </c>
      <c r="C3" s="70"/>
      <c r="D3" s="77">
        <v>322.79199999999997</v>
      </c>
      <c r="F3" s="251" t="s">
        <v>666</v>
      </c>
      <c r="G3" s="70"/>
      <c r="H3" s="77">
        <v>361.392</v>
      </c>
      <c r="J3" s="251" t="s">
        <v>662</v>
      </c>
      <c r="K3" s="70"/>
      <c r="L3" s="77">
        <v>364.267</v>
      </c>
      <c r="M3" s="73"/>
      <c r="N3" s="72" t="s">
        <v>193</v>
      </c>
      <c r="O3" s="70"/>
      <c r="P3" s="74">
        <v>243.1</v>
      </c>
    </row>
    <row r="4" spans="1:16" ht="30" x14ac:dyDescent="0.25">
      <c r="B4" s="252" t="s">
        <v>673</v>
      </c>
      <c r="C4" s="70"/>
      <c r="D4" s="484">
        <v>376.62</v>
      </c>
      <c r="F4" s="252" t="str">
        <f>B4</f>
        <v>10/2026 PPI</v>
      </c>
      <c r="G4" s="70"/>
      <c r="H4" s="484">
        <f>D4</f>
        <v>376.62</v>
      </c>
      <c r="J4" s="252" t="str">
        <f>B4</f>
        <v>10/2026 PPI</v>
      </c>
      <c r="K4" s="70"/>
      <c r="L4" s="484">
        <f>D4</f>
        <v>376.62</v>
      </c>
      <c r="M4" s="76"/>
      <c r="N4" s="75" t="str">
        <f>B4</f>
        <v>10/2026 PPI</v>
      </c>
      <c r="O4" s="70"/>
      <c r="P4" s="73">
        <f>D4</f>
        <v>376.62</v>
      </c>
    </row>
    <row r="5" spans="1:16" ht="30" x14ac:dyDescent="0.25">
      <c r="B5" s="252" t="s">
        <v>194</v>
      </c>
      <c r="C5" s="70"/>
      <c r="D5" s="77">
        <f>D4/D3</f>
        <v>1.166757540459491</v>
      </c>
      <c r="F5" s="252" t="s">
        <v>194</v>
      </c>
      <c r="G5" s="70"/>
      <c r="H5" s="77">
        <f>H4/H3</f>
        <v>1.0421370699960155</v>
      </c>
      <c r="J5" s="252" t="s">
        <v>194</v>
      </c>
      <c r="K5" s="70"/>
      <c r="L5" s="77">
        <f>L4/L3</f>
        <v>1.0339119382211399</v>
      </c>
      <c r="M5" s="77"/>
      <c r="N5" s="75" t="s">
        <v>194</v>
      </c>
      <c r="O5" s="70"/>
      <c r="P5" s="77">
        <f>P4/P3</f>
        <v>1.5492389962978199</v>
      </c>
    </row>
    <row r="6" spans="1:16" ht="30" x14ac:dyDescent="0.25">
      <c r="B6" s="253" t="s">
        <v>195</v>
      </c>
      <c r="C6" s="70"/>
      <c r="D6" s="79">
        <f>ROUND(D5,3)</f>
        <v>1.167</v>
      </c>
      <c r="F6" s="253" t="s">
        <v>195</v>
      </c>
      <c r="G6" s="70"/>
      <c r="H6" s="79">
        <f>ROUND(H5,3)</f>
        <v>1.042</v>
      </c>
      <c r="J6" s="253" t="s">
        <v>195</v>
      </c>
      <c r="K6" s="70"/>
      <c r="L6" s="79">
        <f>ROUND(L5,3)</f>
        <v>1.034</v>
      </c>
      <c r="M6" s="79"/>
      <c r="N6" s="78" t="s">
        <v>195</v>
      </c>
      <c r="O6" s="70"/>
      <c r="P6" s="79">
        <f>ROUND(P5,3)</f>
        <v>1.5489999999999999</v>
      </c>
    </row>
  </sheetData>
  <mergeCells count="3">
    <mergeCell ref="F1:H2"/>
    <mergeCell ref="J1:L2"/>
    <mergeCell ref="A1:D1"/>
  </mergeCells>
  <hyperlinks>
    <hyperlink ref="D2" r:id="rId1" display="WPU141302" xr:uid="{A9F66EA7-D8EB-44F8-8626-0229EB3CABCC}"/>
  </hyperlinks>
  <pageMargins left="0.7" right="0.7" top="0.75" bottom="0.75" header="0.3" footer="0.3"/>
  <pageSetup orientation="portrait" r:id="rId2"/>
</worksheet>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42</vt:i4>
      </vt:variant>
    </vt:vector>
  </HeadingPairs>
  <TitlesOfParts>
    <vt:vector size="65" baseType="lpstr">
      <vt:lpstr>Attachment 1 - Summary</vt:lpstr>
      <vt:lpstr>A (Item 2-G)</vt:lpstr>
      <vt:lpstr>A (Item 3-G)</vt:lpstr>
      <vt:lpstr>A (Item 3-EV)</vt:lpstr>
      <vt:lpstr>A (Item 4-G)</vt:lpstr>
      <vt:lpstr>A (Item 4-EV)</vt:lpstr>
      <vt:lpstr>DNU--A (Item 4-EV)_Ford</vt:lpstr>
      <vt:lpstr>DNU--A (Item 4-EV)_GM</vt:lpstr>
      <vt:lpstr>DNU_--A (Item 4-EV)_GM</vt:lpstr>
      <vt:lpstr>A (Item 5-G)</vt:lpstr>
      <vt:lpstr>C (Item 1-D)</vt:lpstr>
      <vt:lpstr>C (Item 2-D)</vt:lpstr>
      <vt:lpstr>C (Item 2-EV)</vt:lpstr>
      <vt:lpstr>C (Item 3-D)</vt:lpstr>
      <vt:lpstr>C (Item 4-D)</vt:lpstr>
      <vt:lpstr>DNU--C (Item 2-EV)</vt:lpstr>
      <vt:lpstr>C (Item 4-EV)</vt:lpstr>
      <vt:lpstr>D (Item 1-D)</vt:lpstr>
      <vt:lpstr>D (Item 2-D)</vt:lpstr>
      <vt:lpstr>D (Item 3-D)</vt:lpstr>
      <vt:lpstr>D (Item 4-D)</vt:lpstr>
      <vt:lpstr>D (Item 5-D)</vt:lpstr>
      <vt:lpstr>PPI Adj</vt:lpstr>
      <vt:lpstr>'A (Item 3-EV)'!Print_Area</vt:lpstr>
      <vt:lpstr>'A (Item 3-G)'!Print_Area</vt:lpstr>
      <vt:lpstr>'A (Item 4-EV)'!Print_Area</vt:lpstr>
      <vt:lpstr>'A (Item 4-G)'!Print_Area</vt:lpstr>
      <vt:lpstr>'A (Item 5-G)'!Print_Area</vt:lpstr>
      <vt:lpstr>'Attachment 1 - Summary'!Print_Area</vt:lpstr>
      <vt:lpstr>'C (Item 1-D)'!Print_Area</vt:lpstr>
      <vt:lpstr>'C (Item 2-D)'!Print_Area</vt:lpstr>
      <vt:lpstr>'C (Item 2-EV)'!Print_Area</vt:lpstr>
      <vt:lpstr>'C (Item 3-D)'!Print_Area</vt:lpstr>
      <vt:lpstr>'C (Item 4-D)'!Print_Area</vt:lpstr>
      <vt:lpstr>'C (Item 4-EV)'!Print_Area</vt:lpstr>
      <vt:lpstr>'D (Item 1-D)'!Print_Area</vt:lpstr>
      <vt:lpstr>'D (Item 2-D)'!Print_Area</vt:lpstr>
      <vt:lpstr>'D (Item 3-D)'!Print_Area</vt:lpstr>
      <vt:lpstr>'D (Item 4-D)'!Print_Area</vt:lpstr>
      <vt:lpstr>'D (Item 5-D)'!Print_Area</vt:lpstr>
      <vt:lpstr>'DNU_--A (Item 4-EV)_GM'!Print_Area</vt:lpstr>
      <vt:lpstr>'DNU--A (Item 4-EV)_Ford'!Print_Area</vt:lpstr>
      <vt:lpstr>'DNU--A (Item 4-EV)_GM'!Print_Area</vt:lpstr>
      <vt:lpstr>'DNU--C (Item 2-EV)'!Print_Area</vt:lpstr>
      <vt:lpstr>'A (Item 2-G)'!Print_Titles</vt:lpstr>
      <vt:lpstr>'A (Item 3-EV)'!Print_Titles</vt:lpstr>
      <vt:lpstr>'A (Item 3-G)'!Print_Titles</vt:lpstr>
      <vt:lpstr>'A (Item 4-EV)'!Print_Titles</vt:lpstr>
      <vt:lpstr>'A (Item 4-G)'!Print_Titles</vt:lpstr>
      <vt:lpstr>'A (Item 5-G)'!Print_Titles</vt:lpstr>
      <vt:lpstr>'C (Item 1-D)'!Print_Titles</vt:lpstr>
      <vt:lpstr>'C (Item 2-D)'!Print_Titles</vt:lpstr>
      <vt:lpstr>'C (Item 2-EV)'!Print_Titles</vt:lpstr>
      <vt:lpstr>'C (Item 3-D)'!Print_Titles</vt:lpstr>
      <vt:lpstr>'C (Item 4-D)'!Print_Titles</vt:lpstr>
      <vt:lpstr>'C (Item 4-EV)'!Print_Titles</vt:lpstr>
      <vt:lpstr>'D (Item 1-D)'!Print_Titles</vt:lpstr>
      <vt:lpstr>'D (Item 2-D)'!Print_Titles</vt:lpstr>
      <vt:lpstr>'D (Item 3-D)'!Print_Titles</vt:lpstr>
      <vt:lpstr>'D (Item 4-D)'!Print_Titles</vt:lpstr>
      <vt:lpstr>'D (Item 5-D)'!Print_Titles</vt:lpstr>
      <vt:lpstr>'DNU_--A (Item 4-EV)_GM'!Print_Titles</vt:lpstr>
      <vt:lpstr>'DNU--A (Item 4-EV)_Ford'!Print_Titles</vt:lpstr>
      <vt:lpstr>'DNU--A (Item 4-EV)_GM'!Print_Titles</vt:lpstr>
      <vt:lpstr>'DNU--C (Item 2-EV)'!Print_Titles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