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mc:AlternateContent xmlns:mc="http://schemas.openxmlformats.org/markup-compatibility/2006">
    <mc:Choice Requires="x15">
      <x15ac:absPath xmlns:x15ac="http://schemas.microsoft.com/office/spreadsheetml/2010/11/ac" url="V:\ProcurementServices\OPTeam09\Auto\40524-23254 Buses,School\PriceAdjustments\2026-10 PPI\"/>
    </mc:Choice>
  </mc:AlternateContent>
  <xr:revisionPtr revIDLastSave="0" documentId="13_ncr:1_{9EDEDDDA-474A-43A7-9388-2768B115A2A6}" xr6:coauthVersionLast="47" xr6:coauthVersionMax="47" xr10:uidLastSave="{00000000-0000-0000-0000-000000000000}"/>
  <workbookProtection workbookAlgorithmName="SHA-512" workbookHashValue="OjFi0b4aDIiCpTzN4eDc7D56Q4TcapOUcrlyMZdBO0SoCmuAEDTxgXz97BWNz33U7kf5GcxThkru0B8wYka+mw==" workbookSaltValue="9vMN7CBk3MDS0m/3A6OQNQ==" workbookSpinCount="100000" lockStructure="1"/>
  <bookViews>
    <workbookView xWindow="-120" yWindow="-120" windowWidth="29040" windowHeight="15720" tabRatio="871" xr2:uid="{00000000-000D-0000-FFFF-FFFF00000000}"/>
  </bookViews>
  <sheets>
    <sheet name="Attachment 1 - Summary" sheetId="93" r:id="rId1"/>
    <sheet name="A (Item 2-G)" sheetId="123" r:id="rId2"/>
    <sheet name="A (Item 3-G)" sheetId="124" r:id="rId3"/>
    <sheet name="A (Item 4-G)" sheetId="104" r:id="rId4"/>
    <sheet name="A (Item 4-EV)" sheetId="127" r:id="rId5"/>
    <sheet name="A (Item 5-G)" sheetId="125" r:id="rId6"/>
    <sheet name="A (Item 5-EV)" sheetId="130" r:id="rId7"/>
    <sheet name="C (Item 1-D)" sheetId="117" r:id="rId8"/>
    <sheet name="C (Item 1-EV) " sheetId="144" r:id="rId9"/>
    <sheet name="C (Item 2-D)" sheetId="118" r:id="rId10"/>
    <sheet name="C (Item 3-D)" sheetId="120" r:id="rId11"/>
    <sheet name="C (Item 2-EV) " sheetId="145" r:id="rId12"/>
    <sheet name="C (Item 4-D)" sheetId="121" r:id="rId13"/>
    <sheet name="C (Item 4-EV)" sheetId="122" r:id="rId14"/>
    <sheet name="D (Item 1-D)" sheetId="137" r:id="rId15"/>
    <sheet name="D (Item 2-D)" sheetId="138" r:id="rId16"/>
    <sheet name="D (Item 3-D)" sheetId="139" r:id="rId17"/>
    <sheet name="D (Item 4-D)" sheetId="140" r:id="rId18"/>
    <sheet name="D (Item 4-EV)" sheetId="141" r:id="rId19"/>
    <sheet name="D (Item 5-D)" sheetId="142" r:id="rId20"/>
    <sheet name="D (Item 5-EV)" sheetId="143" r:id="rId21"/>
    <sheet name="PPI Adj" sheetId="109" state="hidden" r:id="rId22"/>
  </sheets>
  <externalReferences>
    <externalReference r:id="rId23"/>
  </externalReferences>
  <definedNames>
    <definedName name="_xlnm.Print_Area" localSheetId="2">'A (Item 3-G)'!$A$1:$I$130</definedName>
    <definedName name="_xlnm.Print_Area" localSheetId="4">'A (Item 4-EV)'!$A$1:$G$125</definedName>
    <definedName name="_xlnm.Print_Area" localSheetId="3">'A (Item 4-G)'!$A$1:$G$130</definedName>
    <definedName name="_xlnm.Print_Area" localSheetId="6">'A (Item 5-EV)'!$A$1:$F$124</definedName>
    <definedName name="_xlnm.Print_Area" localSheetId="5">'A (Item 5-G)'!$A$1:$J$130</definedName>
    <definedName name="_xlnm.Print_Area" localSheetId="0">'Attachment 1 - Summary'!$B$1:$G$14</definedName>
    <definedName name="_xlnm.Print_Area" localSheetId="7">'C (Item 1-D)'!$A$1:$H$135</definedName>
    <definedName name="_xlnm.Print_Area" localSheetId="8">'C (Item 1-EV) '!$A$1:$H$130</definedName>
    <definedName name="_xlnm.Print_Area" localSheetId="9">'C (Item 2-D)'!$A$1:$H$135</definedName>
    <definedName name="_xlnm.Print_Area" localSheetId="11">'C (Item 2-EV) '!$A$1:$H$127</definedName>
    <definedName name="_xlnm.Print_Area" localSheetId="10">'C (Item 3-D)'!$A$1:$H$135</definedName>
    <definedName name="_xlnm.Print_Area" localSheetId="12">'C (Item 4-D)'!$A$1:$H$135</definedName>
    <definedName name="_xlnm.Print_Area" localSheetId="13">'C (Item 4-EV)'!$A$1:$F$128</definedName>
    <definedName name="_xlnm.Print_Area" localSheetId="14">'D (Item 1-D)'!$A$1:$G$134</definedName>
    <definedName name="_xlnm.Print_Area" localSheetId="15">'D (Item 2-D)'!$A$1:$G$134</definedName>
    <definedName name="_xlnm.Print_Area" localSheetId="16">'D (Item 3-D)'!$A$1:$G$134</definedName>
    <definedName name="_xlnm.Print_Area" localSheetId="17">'D (Item 4-D)'!$A$1:$G$134</definedName>
    <definedName name="_xlnm.Print_Area" localSheetId="19">'D (Item 5-D)'!$A$1:$G$134</definedName>
    <definedName name="_xlnm.Print_Titles" localSheetId="1">'A (Item 2-G)'!$1:$3</definedName>
    <definedName name="_xlnm.Print_Titles" localSheetId="2">'A (Item 3-G)'!$1:$3</definedName>
    <definedName name="_xlnm.Print_Titles" localSheetId="4">'A (Item 4-EV)'!$1:$3</definedName>
    <definedName name="_xlnm.Print_Titles" localSheetId="3">'A (Item 4-G)'!$1:$3</definedName>
    <definedName name="_xlnm.Print_Titles" localSheetId="6">'A (Item 5-EV)'!$1:$3</definedName>
    <definedName name="_xlnm.Print_Titles" localSheetId="5">'A (Item 5-G)'!$1:$3</definedName>
    <definedName name="_xlnm.Print_Titles" localSheetId="7">'C (Item 1-D)'!$1:$3</definedName>
    <definedName name="_xlnm.Print_Titles" localSheetId="8">'C (Item 1-EV) '!$1:$3</definedName>
    <definedName name="_xlnm.Print_Titles" localSheetId="9">'C (Item 2-D)'!$1:$3</definedName>
    <definedName name="_xlnm.Print_Titles" localSheetId="11">'C (Item 2-EV) '!$1:$3</definedName>
    <definedName name="_xlnm.Print_Titles" localSheetId="10">'C (Item 3-D)'!$1:$3</definedName>
    <definedName name="_xlnm.Print_Titles" localSheetId="12">'C (Item 4-D)'!$1:$3</definedName>
    <definedName name="_xlnm.Print_Titles" localSheetId="13">'C (Item 4-EV)'!$1:$3</definedName>
    <definedName name="_xlnm.Print_Titles" localSheetId="14">'D (Item 1-D)'!$1:$3</definedName>
    <definedName name="_xlnm.Print_Titles" localSheetId="15">'D (Item 2-D)'!$1:$3</definedName>
    <definedName name="_xlnm.Print_Titles" localSheetId="16">'D (Item 3-D)'!$1:$3</definedName>
    <definedName name="_xlnm.Print_Titles" localSheetId="17">'D (Item 4-D)'!$1:$3</definedName>
    <definedName name="_xlnm.Print_Titles" localSheetId="18">'D (Item 4-EV)'!$3:$3</definedName>
    <definedName name="_xlnm.Print_Titles" localSheetId="19">'D (Item 5-D)'!$1:$3</definedName>
    <definedName name="_xlnm.Print_Titles" localSheetId="20">'D (Item 5-EV)'!$3:$3</definedName>
    <definedName name="Z_FB9A4F81_F081_49F4_90CF_12DFB81B8806_.wvu.PrintArea" localSheetId="1" hidden="1">'A (Item 2-G)'!$A$3:$G$51</definedName>
    <definedName name="Z_FB9A4F81_F081_49F4_90CF_12DFB81B8806_.wvu.PrintArea" localSheetId="2" hidden="1">'A (Item 3-G)'!$A$3:$H$51</definedName>
    <definedName name="Z_FB9A4F81_F081_49F4_90CF_12DFB81B8806_.wvu.PrintArea" localSheetId="4" hidden="1">'A (Item 4-EV)'!$A$3:$G$51</definedName>
    <definedName name="Z_FB9A4F81_F081_49F4_90CF_12DFB81B8806_.wvu.PrintArea" localSheetId="3" hidden="1">'A (Item 4-G)'!$A$3:$G$51</definedName>
    <definedName name="Z_FB9A4F81_F081_49F4_90CF_12DFB81B8806_.wvu.PrintArea" localSheetId="6" hidden="1">'A (Item 5-EV)'!$A$3:$G$51</definedName>
    <definedName name="Z_FB9A4F81_F081_49F4_90CF_12DFB81B8806_.wvu.PrintArea" localSheetId="5" hidden="1">'A (Item 5-G)'!$A$3:$H$51</definedName>
    <definedName name="Z_FB9A4F81_F081_49F4_90CF_12DFB81B8806_.wvu.PrintArea" localSheetId="0" hidden="1">'Attachment 1 - Summary'!$B$1:$G$6</definedName>
    <definedName name="Z_FB9A4F81_F081_49F4_90CF_12DFB81B8806_.wvu.PrintArea" localSheetId="7" hidden="1">'C (Item 1-D)'!$A$3:$F$55</definedName>
    <definedName name="Z_FB9A4F81_F081_49F4_90CF_12DFB81B8806_.wvu.PrintArea" localSheetId="8" hidden="1">'C (Item 1-EV) '!$A$3:$F$57</definedName>
    <definedName name="Z_FB9A4F81_F081_49F4_90CF_12DFB81B8806_.wvu.PrintArea" localSheetId="9" hidden="1">'C (Item 2-D)'!$A$3:$F$55</definedName>
    <definedName name="Z_FB9A4F81_F081_49F4_90CF_12DFB81B8806_.wvu.PrintArea" localSheetId="11" hidden="1">'C (Item 2-EV) '!$A$3:$F$55</definedName>
    <definedName name="Z_FB9A4F81_F081_49F4_90CF_12DFB81B8806_.wvu.PrintArea" localSheetId="10" hidden="1">'C (Item 3-D)'!$A$3:$F$55</definedName>
    <definedName name="Z_FB9A4F81_F081_49F4_90CF_12DFB81B8806_.wvu.PrintArea" localSheetId="12" hidden="1">'C (Item 4-D)'!$A$3:$H$55</definedName>
    <definedName name="Z_FB9A4F81_F081_49F4_90CF_12DFB81B8806_.wvu.PrintArea" localSheetId="14" hidden="1">'D (Item 1-D)'!$A$3:$G$54</definedName>
    <definedName name="Z_FB9A4F81_F081_49F4_90CF_12DFB81B8806_.wvu.PrintArea" localSheetId="15" hidden="1">'D (Item 2-D)'!$A$3:$G$54</definedName>
    <definedName name="Z_FB9A4F81_F081_49F4_90CF_12DFB81B8806_.wvu.PrintArea" localSheetId="16" hidden="1">'D (Item 3-D)'!$A$3:$G$54</definedName>
    <definedName name="Z_FB9A4F81_F081_49F4_90CF_12DFB81B8806_.wvu.PrintArea" localSheetId="17" hidden="1">'D (Item 4-D)'!$A$3:$G$54</definedName>
    <definedName name="Z_FB9A4F81_F081_49F4_90CF_12DFB81B8806_.wvu.PrintArea" localSheetId="19" hidden="1">'D (Item 5-D)'!$A$3:$G$54</definedName>
    <definedName name="Z_FB9A4F81_F081_49F4_90CF_12DFB81B8806_.wvu.PrintTitles" localSheetId="1" hidden="1">'A (Item 2-G)'!$3:$3</definedName>
    <definedName name="Z_FB9A4F81_F081_49F4_90CF_12DFB81B8806_.wvu.PrintTitles" localSheetId="2" hidden="1">'A (Item 3-G)'!$3:$3</definedName>
    <definedName name="Z_FB9A4F81_F081_49F4_90CF_12DFB81B8806_.wvu.PrintTitles" localSheetId="4" hidden="1">'A (Item 4-EV)'!$3:$3</definedName>
    <definedName name="Z_FB9A4F81_F081_49F4_90CF_12DFB81B8806_.wvu.PrintTitles" localSheetId="3" hidden="1">'A (Item 4-G)'!$3:$3</definedName>
    <definedName name="Z_FB9A4F81_F081_49F4_90CF_12DFB81B8806_.wvu.PrintTitles" localSheetId="6" hidden="1">'A (Item 5-EV)'!$3:$3</definedName>
    <definedName name="Z_FB9A4F81_F081_49F4_90CF_12DFB81B8806_.wvu.PrintTitles" localSheetId="5" hidden="1">'A (Item 5-G)'!$3:$3</definedName>
    <definedName name="Z_FB9A4F81_F081_49F4_90CF_12DFB81B8806_.wvu.PrintTitles" localSheetId="7" hidden="1">'C (Item 1-D)'!$3:$3</definedName>
    <definedName name="Z_FB9A4F81_F081_49F4_90CF_12DFB81B8806_.wvu.PrintTitles" localSheetId="8" hidden="1">'C (Item 1-EV) '!$3:$3</definedName>
    <definedName name="Z_FB9A4F81_F081_49F4_90CF_12DFB81B8806_.wvu.PrintTitles" localSheetId="9" hidden="1">'C (Item 2-D)'!$3:$3</definedName>
    <definedName name="Z_FB9A4F81_F081_49F4_90CF_12DFB81B8806_.wvu.PrintTitles" localSheetId="11" hidden="1">'C (Item 2-EV) '!$3:$3</definedName>
    <definedName name="Z_FB9A4F81_F081_49F4_90CF_12DFB81B8806_.wvu.PrintTitles" localSheetId="10" hidden="1">'C (Item 3-D)'!$3:$3</definedName>
    <definedName name="Z_FB9A4F81_F081_49F4_90CF_12DFB81B8806_.wvu.PrintTitles" localSheetId="12" hidden="1">'C (Item 4-D)'!$3:$3</definedName>
    <definedName name="Z_FB9A4F81_F081_49F4_90CF_12DFB81B8806_.wvu.PrintTitles" localSheetId="14" hidden="1">'D (Item 1-D)'!$3:$3</definedName>
    <definedName name="Z_FB9A4F81_F081_49F4_90CF_12DFB81B8806_.wvu.PrintTitles" localSheetId="15" hidden="1">'D (Item 2-D)'!$3:$3</definedName>
    <definedName name="Z_FB9A4F81_F081_49F4_90CF_12DFB81B8806_.wvu.PrintTitles" localSheetId="16" hidden="1">'D (Item 3-D)'!$3:$3</definedName>
    <definedName name="Z_FB9A4F81_F081_49F4_90CF_12DFB81B8806_.wvu.PrintTitles" localSheetId="17" hidden="1">'D (Item 4-D)'!$3:$3</definedName>
    <definedName name="Z_FB9A4F81_F081_49F4_90CF_12DFB81B8806_.wvu.PrintTitles" localSheetId="19" hidden="1">'D (Item 5-D)'!$3:$3</definedName>
    <definedName name="Z_FB9A4F81_F081_49F4_90CF_12DFB81B8806_.wvu.Rows" localSheetId="1" hidden="1">'A (Item 2-G)'!#REF!</definedName>
    <definedName name="Z_FB9A4F81_F081_49F4_90CF_12DFB81B8806_.wvu.Rows" localSheetId="2" hidden="1">'A (Item 3-G)'!#REF!</definedName>
    <definedName name="Z_FB9A4F81_F081_49F4_90CF_12DFB81B8806_.wvu.Rows" localSheetId="4" hidden="1">'A (Item 4-EV)'!#REF!</definedName>
    <definedName name="Z_FB9A4F81_F081_49F4_90CF_12DFB81B8806_.wvu.Rows" localSheetId="3" hidden="1">'A (Item 4-G)'!#REF!</definedName>
    <definedName name="Z_FB9A4F81_F081_49F4_90CF_12DFB81B8806_.wvu.Rows" localSheetId="6" hidden="1">'A (Item 5-EV)'!#REF!</definedName>
    <definedName name="Z_FB9A4F81_F081_49F4_90CF_12DFB81B8806_.wvu.Rows" localSheetId="5" hidden="1">'A (Item 5-G)'!#REF!</definedName>
    <definedName name="Z_FB9A4F81_F081_49F4_90CF_12DFB81B8806_.wvu.Rows" localSheetId="7" hidden="1">'C (Item 1-D)'!#REF!</definedName>
    <definedName name="Z_FB9A4F81_F081_49F4_90CF_12DFB81B8806_.wvu.Rows" localSheetId="8" hidden="1">'C (Item 1-EV) '!#REF!</definedName>
    <definedName name="Z_FB9A4F81_F081_49F4_90CF_12DFB81B8806_.wvu.Rows" localSheetId="9" hidden="1">'C (Item 2-D)'!#REF!</definedName>
    <definedName name="Z_FB9A4F81_F081_49F4_90CF_12DFB81B8806_.wvu.Rows" localSheetId="11" hidden="1">'C (Item 2-EV) '!#REF!</definedName>
    <definedName name="Z_FB9A4F81_F081_49F4_90CF_12DFB81B8806_.wvu.Rows" localSheetId="10" hidden="1">'C (Item 3-D)'!#REF!</definedName>
    <definedName name="Z_FB9A4F81_F081_49F4_90CF_12DFB81B8806_.wvu.Rows" localSheetId="12" hidden="1">'C (Item 4-D)'!#REF!</definedName>
    <definedName name="Z_FB9A4F81_F081_49F4_90CF_12DFB81B8806_.wvu.Rows" localSheetId="14" hidden="1">'D (Item 1-D)'!#REF!</definedName>
    <definedName name="Z_FB9A4F81_F081_49F4_90CF_12DFB81B8806_.wvu.Rows" localSheetId="15" hidden="1">'D (Item 2-D)'!#REF!</definedName>
    <definedName name="Z_FB9A4F81_F081_49F4_90CF_12DFB81B8806_.wvu.Rows" localSheetId="16" hidden="1">'D (Item 3-D)'!#REF!</definedName>
    <definedName name="Z_FB9A4F81_F081_49F4_90CF_12DFB81B8806_.wvu.Rows" localSheetId="17" hidden="1">'D (Item 4-D)'!#REF!</definedName>
    <definedName name="Z_FB9A4F81_F081_49F4_90CF_12DFB81B8806_.wvu.Rows" localSheetId="19" hidden="1">'D (Item 5-D)'!#REF!</definedName>
  </definedNames>
  <calcPr calcId="191029"/>
  <customWorkbookViews>
    <customWorkbookView name="Jones, Matthew - Personal View" guid="{FB9A4F81-F081-49F4-90CF-12DFB81B8806}" mergeInterval="0" personalView="1" maximized="1" xWindow="-8" yWindow="-8" windowWidth="1296" windowHeight="1000" tabRatio="830" activeSheetId="7"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109" l="1"/>
  <c r="F4" i="109"/>
  <c r="A1" i="143" l="1"/>
  <c r="A1" i="142"/>
  <c r="A1" i="141"/>
  <c r="A1" i="140"/>
  <c r="A1" i="139"/>
  <c r="A1" i="138"/>
  <c r="A1" i="137"/>
  <c r="A1" i="122"/>
  <c r="A1" i="121"/>
  <c r="A1" i="120"/>
  <c r="A1" i="145"/>
  <c r="A1" i="118"/>
  <c r="A1" i="144"/>
  <c r="A1" i="117"/>
  <c r="A1" i="130"/>
  <c r="A1" i="125"/>
  <c r="A1" i="127"/>
  <c r="A1" i="104"/>
  <c r="A1" i="124"/>
  <c r="H5" i="109" l="1"/>
  <c r="H6" i="109" s="1"/>
  <c r="D5" i="109"/>
  <c r="D6" i="109" s="1"/>
  <c r="A2" i="145"/>
  <c r="A2" i="144"/>
  <c r="F91" i="145" l="1"/>
  <c r="F89" i="145"/>
  <c r="F80" i="145"/>
  <c r="F94" i="144"/>
  <c r="F84" i="144"/>
  <c r="F88" i="145"/>
  <c r="F79" i="145"/>
  <c r="F93" i="144"/>
  <c r="F83" i="144"/>
  <c r="F96" i="145"/>
  <c r="F87" i="145"/>
  <c r="F21" i="145"/>
  <c r="F91" i="144"/>
  <c r="F82" i="144"/>
  <c r="F95" i="145"/>
  <c r="F86" i="145"/>
  <c r="F99" i="144"/>
  <c r="F90" i="144"/>
  <c r="F81" i="144"/>
  <c r="F94" i="145"/>
  <c r="F85" i="145"/>
  <c r="F98" i="144"/>
  <c r="F89" i="144"/>
  <c r="F23" i="144"/>
  <c r="F93" i="145"/>
  <c r="F83" i="145"/>
  <c r="F97" i="144"/>
  <c r="F88" i="144"/>
  <c r="F92" i="145"/>
  <c r="F82" i="145"/>
  <c r="F96" i="144"/>
  <c r="F87" i="144"/>
  <c r="F81" i="145"/>
  <c r="F95" i="144"/>
  <c r="F85" i="144"/>
  <c r="A2" i="130"/>
  <c r="A2" i="143" l="1"/>
  <c r="A2" i="142"/>
  <c r="A2" i="141" l="1"/>
  <c r="A2" i="140"/>
  <c r="A2" i="139"/>
  <c r="A2" i="138"/>
  <c r="A2" i="137"/>
  <c r="A2" i="122" l="1"/>
  <c r="A2" i="121"/>
  <c r="A2" i="120"/>
  <c r="A2" i="118"/>
  <c r="A2" i="117"/>
  <c r="A2" i="127"/>
  <c r="L4" i="109" l="1"/>
  <c r="L5" i="109" s="1"/>
  <c r="L6" i="109" s="1"/>
  <c r="J4" i="109"/>
  <c r="H21" i="120" l="1"/>
  <c r="F21" i="143"/>
  <c r="F87" i="143"/>
  <c r="F87" i="141"/>
  <c r="F21" i="141"/>
  <c r="F95" i="142"/>
  <c r="F83" i="142"/>
  <c r="F96" i="140"/>
  <c r="F84" i="140"/>
  <c r="F97" i="139"/>
  <c r="F86" i="139"/>
  <c r="F98" i="140"/>
  <c r="F95" i="143"/>
  <c r="F86" i="143"/>
  <c r="F95" i="141"/>
  <c r="F86" i="141"/>
  <c r="F97" i="142"/>
  <c r="F93" i="142"/>
  <c r="F21" i="142"/>
  <c r="F95" i="140"/>
  <c r="F83" i="140"/>
  <c r="F96" i="139"/>
  <c r="F85" i="139"/>
  <c r="F88" i="141"/>
  <c r="F99" i="139"/>
  <c r="F94" i="143"/>
  <c r="F84" i="143"/>
  <c r="F94" i="141"/>
  <c r="F84" i="141"/>
  <c r="F85" i="142"/>
  <c r="F92" i="142"/>
  <c r="F97" i="140"/>
  <c r="F93" i="140"/>
  <c r="F21" i="140"/>
  <c r="F95" i="139"/>
  <c r="F84" i="139"/>
  <c r="F78" i="141"/>
  <c r="F93" i="143"/>
  <c r="F82" i="143"/>
  <c r="F93" i="141"/>
  <c r="F82" i="141"/>
  <c r="F101" i="142"/>
  <c r="F91" i="142"/>
  <c r="F85" i="140"/>
  <c r="F92" i="140"/>
  <c r="F98" i="139"/>
  <c r="F93" i="139"/>
  <c r="F83" i="139"/>
  <c r="F96" i="142"/>
  <c r="F92" i="143"/>
  <c r="F81" i="143"/>
  <c r="F90" i="141"/>
  <c r="F81" i="141"/>
  <c r="F100" i="142"/>
  <c r="F89" i="142"/>
  <c r="F101" i="140"/>
  <c r="F91" i="140"/>
  <c r="F90" i="139"/>
  <c r="F92" i="139"/>
  <c r="F21" i="139"/>
  <c r="F84" i="142"/>
  <c r="F91" i="143"/>
  <c r="F80" i="143"/>
  <c r="F91" i="141"/>
  <c r="F80" i="141"/>
  <c r="F99" i="142"/>
  <c r="F87" i="142"/>
  <c r="F100" i="140"/>
  <c r="F89" i="140"/>
  <c r="F101" i="139"/>
  <c r="F91" i="139"/>
  <c r="F78" i="143"/>
  <c r="F87" i="139"/>
  <c r="F90" i="143"/>
  <c r="F79" i="143"/>
  <c r="F92" i="141"/>
  <c r="F79" i="141"/>
  <c r="F98" i="142"/>
  <c r="F86" i="142"/>
  <c r="F99" i="140"/>
  <c r="F87" i="140"/>
  <c r="F100" i="139"/>
  <c r="F89" i="139"/>
  <c r="F88" i="143"/>
  <c r="F86" i="140"/>
  <c r="F95" i="138"/>
  <c r="F96" i="138"/>
  <c r="F83" i="138"/>
  <c r="F100" i="137"/>
  <c r="F91" i="137"/>
  <c r="F21" i="137"/>
  <c r="F90" i="138"/>
  <c r="F93" i="138"/>
  <c r="F21" i="138"/>
  <c r="F99" i="137"/>
  <c r="F90" i="137"/>
  <c r="F92" i="138"/>
  <c r="F98" i="137"/>
  <c r="F89" i="137"/>
  <c r="F87" i="137"/>
  <c r="F85" i="137"/>
  <c r="F84" i="137"/>
  <c r="F84" i="138"/>
  <c r="F85" i="138"/>
  <c r="F86" i="137"/>
  <c r="F93" i="137"/>
  <c r="F101" i="137"/>
  <c r="F101" i="138"/>
  <c r="F91" i="138"/>
  <c r="F97" i="137"/>
  <c r="F97" i="138"/>
  <c r="F100" i="138"/>
  <c r="F89" i="138"/>
  <c r="F96" i="137"/>
  <c r="F86" i="138"/>
  <c r="F83" i="137"/>
  <c r="F99" i="138"/>
  <c r="F87" i="138"/>
  <c r="F95" i="137"/>
  <c r="F98" i="138"/>
  <c r="F92" i="137"/>
  <c r="F88" i="122"/>
  <c r="F79" i="122"/>
  <c r="H102" i="121"/>
  <c r="F100" i="121"/>
  <c r="G97" i="121"/>
  <c r="H93" i="121"/>
  <c r="F90" i="121"/>
  <c r="G85" i="121"/>
  <c r="G102" i="120"/>
  <c r="H99" i="120"/>
  <c r="F97" i="120"/>
  <c r="G93" i="120"/>
  <c r="H88" i="120"/>
  <c r="F85" i="120"/>
  <c r="G99" i="118"/>
  <c r="H102" i="118"/>
  <c r="F100" i="118"/>
  <c r="G94" i="118"/>
  <c r="H90" i="118"/>
  <c r="F87" i="118"/>
  <c r="G86" i="118"/>
  <c r="H21" i="118"/>
  <c r="H98" i="117"/>
  <c r="H86" i="117"/>
  <c r="G97" i="117"/>
  <c r="G85" i="117"/>
  <c r="F96" i="117"/>
  <c r="F84" i="117"/>
  <c r="F92" i="130"/>
  <c r="F83" i="130"/>
  <c r="I94" i="125"/>
  <c r="I84" i="125"/>
  <c r="G94" i="125"/>
  <c r="G84" i="125"/>
  <c r="F93" i="125"/>
  <c r="F82" i="125"/>
  <c r="F90" i="127"/>
  <c r="F81" i="127"/>
  <c r="F95" i="104"/>
  <c r="F85" i="104"/>
  <c r="H95" i="124"/>
  <c r="H85" i="124"/>
  <c r="F96" i="124"/>
  <c r="F86" i="124"/>
  <c r="F94" i="123"/>
  <c r="F85" i="123"/>
  <c r="G94" i="121"/>
  <c r="H90" i="121"/>
  <c r="F86" i="120"/>
  <c r="G90" i="120"/>
  <c r="F96" i="118"/>
  <c r="H91" i="117"/>
  <c r="F86" i="130"/>
  <c r="G86" i="125"/>
  <c r="H21" i="124"/>
  <c r="F80" i="122"/>
  <c r="F100" i="120"/>
  <c r="G100" i="118"/>
  <c r="F84" i="118"/>
  <c r="F97" i="117"/>
  <c r="G85" i="125"/>
  <c r="F86" i="104"/>
  <c r="F96" i="122"/>
  <c r="F87" i="122"/>
  <c r="F21" i="122"/>
  <c r="G102" i="121"/>
  <c r="H99" i="121"/>
  <c r="F97" i="121"/>
  <c r="G93" i="121"/>
  <c r="H88" i="121"/>
  <c r="F85" i="121"/>
  <c r="H91" i="120"/>
  <c r="F102" i="120"/>
  <c r="G99" i="120"/>
  <c r="H96" i="120"/>
  <c r="F93" i="120"/>
  <c r="G88" i="120"/>
  <c r="H84" i="120"/>
  <c r="F99" i="118"/>
  <c r="G102" i="118"/>
  <c r="H97" i="118"/>
  <c r="F94" i="118"/>
  <c r="G90" i="118"/>
  <c r="H88" i="117"/>
  <c r="F86" i="118"/>
  <c r="G21" i="118"/>
  <c r="H97" i="117"/>
  <c r="H85" i="117"/>
  <c r="G96" i="117"/>
  <c r="G84" i="117"/>
  <c r="F94" i="117"/>
  <c r="F21" i="117"/>
  <c r="F91" i="130"/>
  <c r="F82" i="130"/>
  <c r="I93" i="125"/>
  <c r="I82" i="125"/>
  <c r="G93" i="125"/>
  <c r="G82" i="125"/>
  <c r="F92" i="125"/>
  <c r="F81" i="125"/>
  <c r="F89" i="127"/>
  <c r="F79" i="127"/>
  <c r="F94" i="104"/>
  <c r="F84" i="104"/>
  <c r="H94" i="124"/>
  <c r="H84" i="124"/>
  <c r="F95" i="124"/>
  <c r="F85" i="124"/>
  <c r="F93" i="123"/>
  <c r="F84" i="123"/>
  <c r="G86" i="121"/>
  <c r="G21" i="121"/>
  <c r="H85" i="120"/>
  <c r="F87" i="117"/>
  <c r="F86" i="117"/>
  <c r="I86" i="125"/>
  <c r="F83" i="127"/>
  <c r="F21" i="124"/>
  <c r="F89" i="122"/>
  <c r="F21" i="121"/>
  <c r="F90" i="120"/>
  <c r="G87" i="118"/>
  <c r="G98" i="117"/>
  <c r="F84" i="130"/>
  <c r="F84" i="125"/>
  <c r="H86" i="124"/>
  <c r="F95" i="122"/>
  <c r="F86" i="122"/>
  <c r="H91" i="121"/>
  <c r="F102" i="121"/>
  <c r="G99" i="121"/>
  <c r="H96" i="121"/>
  <c r="F93" i="121"/>
  <c r="G88" i="121"/>
  <c r="H84" i="121"/>
  <c r="G91" i="120"/>
  <c r="H101" i="120"/>
  <c r="F99" i="120"/>
  <c r="G96" i="120"/>
  <c r="H92" i="120"/>
  <c r="F88" i="120"/>
  <c r="G84" i="120"/>
  <c r="H98" i="118"/>
  <c r="F102" i="118"/>
  <c r="G97" i="118"/>
  <c r="H93" i="118"/>
  <c r="F90" i="118"/>
  <c r="G88" i="117"/>
  <c r="H85" i="118"/>
  <c r="F21" i="118"/>
  <c r="H96" i="117"/>
  <c r="H84" i="117"/>
  <c r="G94" i="117"/>
  <c r="F102" i="117"/>
  <c r="F93" i="117"/>
  <c r="H21" i="117"/>
  <c r="F90" i="130"/>
  <c r="F81" i="130"/>
  <c r="I92" i="125"/>
  <c r="I79" i="125"/>
  <c r="G92" i="125"/>
  <c r="G81" i="125"/>
  <c r="F90" i="125"/>
  <c r="F79" i="125"/>
  <c r="F88" i="127"/>
  <c r="F78" i="127"/>
  <c r="F93" i="104"/>
  <c r="F82" i="104"/>
  <c r="H93" i="124"/>
  <c r="H82" i="124"/>
  <c r="F94" i="124"/>
  <c r="F84" i="124"/>
  <c r="F92" i="123"/>
  <c r="F82" i="123"/>
  <c r="F98" i="121"/>
  <c r="F94" i="120"/>
  <c r="H87" i="118"/>
  <c r="F98" i="117"/>
  <c r="F85" i="125"/>
  <c r="F87" i="124"/>
  <c r="G100" i="121"/>
  <c r="H99" i="118"/>
  <c r="H90" i="117"/>
  <c r="I95" i="125"/>
  <c r="F82" i="127"/>
  <c r="F86" i="123"/>
  <c r="F94" i="122"/>
  <c r="F85" i="122"/>
  <c r="G91" i="121"/>
  <c r="H101" i="121"/>
  <c r="F99" i="121"/>
  <c r="G96" i="121"/>
  <c r="H92" i="121"/>
  <c r="F88" i="121"/>
  <c r="G84" i="121"/>
  <c r="F91" i="120"/>
  <c r="G101" i="120"/>
  <c r="H98" i="120"/>
  <c r="F96" i="120"/>
  <c r="G92" i="120"/>
  <c r="H87" i="120"/>
  <c r="F84" i="120"/>
  <c r="G98" i="118"/>
  <c r="H101" i="118"/>
  <c r="F97" i="118"/>
  <c r="G93" i="118"/>
  <c r="H88" i="118"/>
  <c r="H87" i="117"/>
  <c r="G85" i="118"/>
  <c r="H94" i="117"/>
  <c r="G102" i="117"/>
  <c r="G93" i="117"/>
  <c r="F101" i="117"/>
  <c r="F92" i="117"/>
  <c r="G21" i="117"/>
  <c r="F89" i="130"/>
  <c r="F79" i="130"/>
  <c r="I90" i="125"/>
  <c r="I78" i="125"/>
  <c r="G90" i="125"/>
  <c r="G79" i="125"/>
  <c r="F89" i="125"/>
  <c r="F78" i="125"/>
  <c r="F87" i="127"/>
  <c r="F75" i="127"/>
  <c r="F92" i="104"/>
  <c r="F81" i="104"/>
  <c r="H92" i="124"/>
  <c r="H81" i="124"/>
  <c r="F92" i="124"/>
  <c r="F82" i="124"/>
  <c r="F91" i="123"/>
  <c r="F81" i="123"/>
  <c r="F81" i="122"/>
  <c r="G100" i="120"/>
  <c r="G91" i="118"/>
  <c r="G84" i="118"/>
  <c r="G90" i="117"/>
  <c r="I96" i="125"/>
  <c r="F91" i="127"/>
  <c r="H87" i="124"/>
  <c r="F21" i="123"/>
  <c r="H97" i="121"/>
  <c r="H85" i="121"/>
  <c r="G97" i="120"/>
  <c r="G85" i="120"/>
  <c r="F92" i="118"/>
  <c r="H99" i="117"/>
  <c r="F21" i="130"/>
  <c r="G95" i="125"/>
  <c r="F92" i="127"/>
  <c r="H96" i="124"/>
  <c r="F81" i="124"/>
  <c r="F93" i="122"/>
  <c r="F83" i="122"/>
  <c r="F91" i="121"/>
  <c r="G101" i="121"/>
  <c r="H98" i="121"/>
  <c r="F96" i="121"/>
  <c r="G92" i="121"/>
  <c r="H87" i="121"/>
  <c r="F84" i="121"/>
  <c r="H86" i="120"/>
  <c r="F101" i="120"/>
  <c r="G98" i="120"/>
  <c r="H94" i="120"/>
  <c r="F92" i="120"/>
  <c r="G87" i="120"/>
  <c r="G21" i="120"/>
  <c r="F98" i="118"/>
  <c r="G101" i="118"/>
  <c r="H96" i="118"/>
  <c r="F93" i="118"/>
  <c r="G88" i="118"/>
  <c r="G87" i="117"/>
  <c r="F85" i="118"/>
  <c r="H102" i="117"/>
  <c r="H93" i="117"/>
  <c r="G101" i="117"/>
  <c r="G92" i="117"/>
  <c r="F100" i="117"/>
  <c r="F91" i="117"/>
  <c r="F88" i="130"/>
  <c r="F78" i="130"/>
  <c r="I89" i="125"/>
  <c r="I81" i="125"/>
  <c r="G89" i="125"/>
  <c r="G78" i="125"/>
  <c r="F87" i="125"/>
  <c r="G21" i="125"/>
  <c r="F86" i="127"/>
  <c r="F74" i="127"/>
  <c r="F90" i="104"/>
  <c r="F79" i="104"/>
  <c r="H90" i="124"/>
  <c r="H78" i="124"/>
  <c r="F90" i="124"/>
  <c r="F79" i="124"/>
  <c r="F89" i="123"/>
  <c r="F79" i="123"/>
  <c r="H100" i="121"/>
  <c r="H97" i="120"/>
  <c r="G92" i="118"/>
  <c r="H100" i="117"/>
  <c r="F76" i="130"/>
  <c r="F95" i="125"/>
  <c r="F21" i="104"/>
  <c r="F87" i="123"/>
  <c r="F94" i="121"/>
  <c r="G90" i="121"/>
  <c r="H102" i="120"/>
  <c r="H93" i="120"/>
  <c r="F91" i="118"/>
  <c r="H86" i="118"/>
  <c r="G86" i="117"/>
  <c r="I85" i="125"/>
  <c r="F96" i="104"/>
  <c r="F95" i="123"/>
  <c r="F92" i="122"/>
  <c r="F82" i="122"/>
  <c r="H86" i="121"/>
  <c r="F101" i="121"/>
  <c r="G98" i="121"/>
  <c r="H94" i="121"/>
  <c r="F92" i="121"/>
  <c r="G87" i="121"/>
  <c r="H21" i="121"/>
  <c r="G86" i="120"/>
  <c r="H100" i="120"/>
  <c r="F98" i="120"/>
  <c r="G94" i="120"/>
  <c r="H90" i="120"/>
  <c r="F87" i="120"/>
  <c r="F21" i="120"/>
  <c r="H91" i="118"/>
  <c r="F101" i="118"/>
  <c r="G96" i="118"/>
  <c r="H92" i="118"/>
  <c r="F88" i="118"/>
  <c r="F88" i="117"/>
  <c r="H84" i="118"/>
  <c r="H101" i="117"/>
  <c r="H92" i="117"/>
  <c r="G100" i="117"/>
  <c r="G91" i="117"/>
  <c r="F99" i="117"/>
  <c r="F90" i="117"/>
  <c r="F76" i="127"/>
  <c r="F87" i="130"/>
  <c r="F75" i="130"/>
  <c r="I87" i="125"/>
  <c r="I21" i="125"/>
  <c r="G87" i="125"/>
  <c r="F96" i="125"/>
  <c r="F86" i="125"/>
  <c r="F21" i="125"/>
  <c r="F84" i="127"/>
  <c r="F21" i="127"/>
  <c r="F89" i="104"/>
  <c r="F78" i="104"/>
  <c r="H89" i="124"/>
  <c r="H79" i="124"/>
  <c r="F89" i="124"/>
  <c r="F78" i="124"/>
  <c r="F88" i="123"/>
  <c r="F78" i="123"/>
  <c r="F91" i="122"/>
  <c r="F87" i="121"/>
  <c r="H100" i="118"/>
  <c r="G99" i="117"/>
  <c r="G96" i="125"/>
  <c r="F87" i="104"/>
  <c r="F86" i="121"/>
  <c r="H94" i="118"/>
  <c r="F85" i="117"/>
  <c r="F94" i="125"/>
  <c r="F93" i="124"/>
</calcChain>
</file>

<file path=xl/sharedStrings.xml><?xml version="1.0" encoding="utf-8"?>
<sst xmlns="http://schemas.openxmlformats.org/spreadsheetml/2006/main" count="6009" uniqueCount="549">
  <si>
    <t>Chassis Make</t>
  </si>
  <si>
    <t>Chassis Model</t>
  </si>
  <si>
    <t>Chassis Model Code</t>
  </si>
  <si>
    <t>Body Make</t>
  </si>
  <si>
    <t>Body Model</t>
  </si>
  <si>
    <t>Body Model Code</t>
  </si>
  <si>
    <t>Category</t>
  </si>
  <si>
    <t>Specification</t>
  </si>
  <si>
    <t>General</t>
  </si>
  <si>
    <t>Engine</t>
  </si>
  <si>
    <t>Transmission</t>
  </si>
  <si>
    <t xml:space="preserve">Front Axle </t>
  </si>
  <si>
    <t>Tires</t>
  </si>
  <si>
    <t>Wheelchair Lift</t>
  </si>
  <si>
    <t>Air Conditioning</t>
  </si>
  <si>
    <t>Name and description of worksheets included in this workbook:</t>
  </si>
  <si>
    <t>Rear Axle</t>
  </si>
  <si>
    <t>Gasoline</t>
  </si>
  <si>
    <t>Pupil Capacity</t>
  </si>
  <si>
    <t>Diesel</t>
  </si>
  <si>
    <t>Additional Body Section NYS Contract Price</t>
  </si>
  <si>
    <t>Capacity</t>
  </si>
  <si>
    <t>Front axle capacity [lbs]:</t>
  </si>
  <si>
    <t>Rear axle capacity [lbs]:</t>
  </si>
  <si>
    <t>Gross Axle Weight Rating (GAWR) [lbs]:</t>
  </si>
  <si>
    <t>Alternator</t>
  </si>
  <si>
    <t>Battery(ies)</t>
  </si>
  <si>
    <t>Door (Entrance)</t>
  </si>
  <si>
    <t xml:space="preserve">Fuel Tank(s) </t>
  </si>
  <si>
    <t xml:space="preserve">Seatbelt (ambulatory) </t>
  </si>
  <si>
    <t>Make &amp; Model:</t>
  </si>
  <si>
    <t>Stop Arm(s) (Power)</t>
  </si>
  <si>
    <t>8 Lamp Warning System (School Bus)</t>
  </si>
  <si>
    <t>Optional Equipment</t>
  </si>
  <si>
    <t>Child Presence Check / Alarm</t>
  </si>
  <si>
    <t>Glass (Tinted)</t>
  </si>
  <si>
    <t>Rear Axle, "No Spin"</t>
  </si>
  <si>
    <t>Roof Ventilator / Emergency Exit</t>
  </si>
  <si>
    <t>White Roof</t>
  </si>
  <si>
    <t>Crossing Arm</t>
  </si>
  <si>
    <t>Vandal Lock</t>
  </si>
  <si>
    <t>Additional Options NYS Discount</t>
  </si>
  <si>
    <t>Base Item NYS Contract Price</t>
  </si>
  <si>
    <t>Delivery Time</t>
  </si>
  <si>
    <t>Electrical</t>
  </si>
  <si>
    <t>Units shall have headlights turned on when the engine is running.</t>
  </si>
  <si>
    <t>Door (Rear Emergency Exit)</t>
  </si>
  <si>
    <t>Manufacturer's standard insulated floor design shall be provided throughout the School Bus.</t>
  </si>
  <si>
    <t>Floor</t>
  </si>
  <si>
    <t>Heaters</t>
  </si>
  <si>
    <t>Horns</t>
  </si>
  <si>
    <t>Mirrors</t>
  </si>
  <si>
    <t>Steering</t>
  </si>
  <si>
    <t>Power steering</t>
  </si>
  <si>
    <t>Seating</t>
  </si>
  <si>
    <t>"School Bus" Signs</t>
  </si>
  <si>
    <t>Exterior Reflective Markings</t>
  </si>
  <si>
    <t xml:space="preserve">Length (bumper to bumper) [inches]: </t>
  </si>
  <si>
    <t>Wheelbase [inches]:</t>
  </si>
  <si>
    <t>Dimensions</t>
  </si>
  <si>
    <t>Tires (Snow)</t>
  </si>
  <si>
    <t>Tires (All-Season)</t>
  </si>
  <si>
    <t>Automatic transmission</t>
  </si>
  <si>
    <t>Driver's compartment dome light shall be so directed to provide illumination for the bus driver and be controlled by an independent switch.</t>
  </si>
  <si>
    <t>All exterior lamps, except headlamps, shall be Light Emitting Diode (LED) design that meet applicable SAE standards.</t>
  </si>
  <si>
    <t xml:space="preserve">An electrical horn(s) shall be provided that meets SAE standard J377. </t>
  </si>
  <si>
    <t xml:space="preserve">Minimum 24 </t>
  </si>
  <si>
    <t>Number of rows:</t>
  </si>
  <si>
    <t>Number of Pupils:</t>
  </si>
  <si>
    <t>Body width (inside) [inches]:</t>
  </si>
  <si>
    <t xml:space="preserve">Body headroom (standard) [inches]: </t>
  </si>
  <si>
    <t>Option Code, Make &amp; Model:</t>
  </si>
  <si>
    <t xml:space="preserve">Option Code, Make &amp; Model:
</t>
  </si>
  <si>
    <t xml:space="preserve">Capacity [amps]:
</t>
  </si>
  <si>
    <t>Model or Option Code:</t>
  </si>
  <si>
    <t>Number of batteries:</t>
  </si>
  <si>
    <t>CCA of each battery:</t>
  </si>
  <si>
    <t>Type and clear width [inches]:</t>
  </si>
  <si>
    <t>Capacity [gallons]:</t>
  </si>
  <si>
    <t>The exterior driving mirrors shall be the heated defrosting type with their own switch and pilot light.  Crossview mirrors shall be provided at front corners of each bus.</t>
  </si>
  <si>
    <t xml:space="preserve">Manufacturer's standard or optional seat spacing that meets or exceeds the NYCRR minimum requirement for the respective class of School Bus with the minimum Pupil capacity stated above. </t>
  </si>
  <si>
    <t>Shall include lower glass.</t>
  </si>
  <si>
    <t>Capacity - Add One (1) Row of Seating</t>
  </si>
  <si>
    <t>Capacity - Delete One (1) Row of Seating</t>
  </si>
  <si>
    <t>The manufacturer’s standard device (e.g., power-lock, limited-slip, no-spin, positive-traction).</t>
  </si>
  <si>
    <t>Floor (Flat) With Recessed Wheelchair Track Throughout Entire Body</t>
  </si>
  <si>
    <t xml:space="preserve">Floor With Recessed Wheelchair Restraint Track For One Wheelchair Station. </t>
  </si>
  <si>
    <t>The School Bus Body shall be provided with a factory-painted white roof in lieu of school bus yellow.  White shall NOT extend below the bottom of the marker lights.</t>
  </si>
  <si>
    <t>Auxiliary Engine Coolant Heater</t>
  </si>
  <si>
    <t>Minimum four (4) rows for sixteen (16) Pupils</t>
  </si>
  <si>
    <t>Additional Passenger Area Heater (Under Passenger Seat)</t>
  </si>
  <si>
    <t>School Bus Safety Camera</t>
  </si>
  <si>
    <t>Multifunction School Activity Bus</t>
  </si>
  <si>
    <t xml:space="preserve">Alternator shall be of the integrally-rectified type, with an SAE continuous ampere output rating that is capable of at least powering all electrical devices energized simultaneously and an additional output of ten (10) or more amperes; and shall be driven by a single serpentine belt (or equivalent) or gear driven, and shall have full-transistor type voltage regulators.  Wiring harness sizes shall be not less than the alternator manufacturer's recommendations. </t>
  </si>
  <si>
    <t xml:space="preserve">Shall be entrance-door activated, electric or air-positioning type, and be provided streetside on all School Buses.  It shall be compliant with FMVSS (49 CFR 571.131). </t>
  </si>
  <si>
    <t>Both front and rear shall comply with Article 9, Section 375.20 of the New York State Vehicle and Traffic Law.</t>
  </si>
  <si>
    <t>Shall be compliant with SAE J887.</t>
  </si>
  <si>
    <t>The School Bus windshield and Body windows shall have the manufacturer's typical options that provide tinted glass windows throughout the vehicle and shall comply with Article 9, Section 375.12a. of the New York State Vehicle and Traffic Law.</t>
  </si>
  <si>
    <t>Electric hydraulic type compliant with FMVSS (49 CFR 571.403 and 404). A safety switch to prevent operation of lift unless door(s) are opened, and a manual override system in case of power failure, shall be provided. The lift electric system shall be protected with an in-line fuse.</t>
  </si>
  <si>
    <t>Type of device:</t>
  </si>
  <si>
    <t xml:space="preserve">Make &amp; Model: </t>
  </si>
  <si>
    <t>Pick Up Allowance</t>
  </si>
  <si>
    <t>LOT A (Item 2-G)</t>
  </si>
  <si>
    <r>
      <t xml:space="preserve">Minimum passenger compartment heating shall meet the requirements of NYCRR, Title 17, Part 720.4(I) </t>
    </r>
    <r>
      <rPr>
        <i/>
        <sz val="10"/>
        <rFont val="Arial"/>
        <family val="2"/>
      </rPr>
      <t>Heaters</t>
    </r>
    <r>
      <rPr>
        <sz val="10"/>
        <rFont val="Arial"/>
        <family val="2"/>
      </rPr>
      <t>, or the latest revision thereof.</t>
    </r>
  </si>
  <si>
    <t>Type and style:</t>
  </si>
  <si>
    <t>Type:</t>
  </si>
  <si>
    <t>Shall be power operated by passenger door operating control - electric vacuum, or air powered.</t>
  </si>
  <si>
    <t>Shall be the Child Check-mate System Model EP 2, or Compatible Equivalent.</t>
  </si>
  <si>
    <t>Dual Rear Wheel (DRW)</t>
  </si>
  <si>
    <t>Lift capacity:</t>
  </si>
  <si>
    <t>BTU/H:</t>
  </si>
  <si>
    <t>Cowl to rear axle length [inches]:</t>
  </si>
  <si>
    <t>Front Tires Option Code:</t>
  </si>
  <si>
    <t>Front Tires Make &amp; Tread Designation:</t>
  </si>
  <si>
    <t>Rear Tires Option Code:</t>
  </si>
  <si>
    <t>Rear Tires Make &amp; Tread Designation:</t>
  </si>
  <si>
    <t>Number of forward gears:</t>
  </si>
  <si>
    <t>Gears direct or w/O.D.?:</t>
  </si>
  <si>
    <t>Gross Vehicle Weight Rating
(GVWR) [lbs]:</t>
  </si>
  <si>
    <t>Single Rear Wheel (SRW)</t>
  </si>
  <si>
    <t>Type A-1, SRW, Cutaway, 4 Rows
(Gasoline; Minimum 16 Pupils)</t>
  </si>
  <si>
    <t>Tab Color</t>
  </si>
  <si>
    <t>LOT A (Item 3-G)</t>
  </si>
  <si>
    <t>Rear Wheels</t>
  </si>
  <si>
    <t>Type A-2, DRW, Cutaway, 4 Rows
(Gasoline; Minimum 20 Pupils)</t>
  </si>
  <si>
    <t>Minimum four (4) rows for twenty (20) Pupils.</t>
  </si>
  <si>
    <t>Type II 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</si>
  <si>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Tires of the same size and ply-rating as front tires shall be furnished on the rear wheels.  The price entered for this Optional Equipment shall be for two (2) tires.</t>
  </si>
  <si>
    <t>All-season tread, tubeless, radial tires having a Federal class designation S/T or STC shall be provided.  Tires shall be Michelin LTX M/S, or LTX M/S Commercial, or XPS Traction tread series, or Compatible Equivalent. The price entered for this Optional Equipment shall be for shall be for four (4) tires.</t>
  </si>
  <si>
    <t xml:space="preserve">In addition to manufacturer's standard and/or NYS DOT minimum requirements, install one (1) under seat heater meeting federal and state regulations, that provides heat for the passenger body area.  </t>
  </si>
  <si>
    <t>Add one (1) row of seating to an Additional Body Section that has been added to the Base Item.</t>
  </si>
  <si>
    <t>A conversion School Bus constructed using a cutaway front-section vehicle with a left side driver’s door, with a GVWR equal to or greater than 10,001 pounds and less than or equal to 21,500 pounds.</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</si>
  <si>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</si>
  <si>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Snow tread tires shall be provided on all drive wheels.  Tires shall be Federal class D/A, STC (with snow traction capability), or class S/T, or A/T, AP with STC, or other class with STC. The price entered for this Optional Equipment shall be for four (4) tires.  Tires furnished on the rear wheels shall be the same size and adequate for axle's GAWR.</t>
  </si>
  <si>
    <t>All-season tread, tubeless, radial tires having a Federal class designation S/T or STC shall be provided.  Tires shall be Michelin LTX M/S, or LTX M/S Commercial, or XPS Traction tread series, or Compatible Equivalent. The price entered for this Optional Equipment shall be for six (6) tires.  Tires furnished on the rear wheels shall be the same size and adequate for axle's GAWR.</t>
  </si>
  <si>
    <t>Roof hatches shall provide static venting with the first unlatched position and provide a latch for release to the full opened emergency position, and be equipped with an exterior latch. Roof hatches shall be Transpec Standard Vent, Model 1970, Specialty Manufacturing 8600, 8900, or 9000 series, Spheros #550886A or 550887A, or Compatible Equivalent.</t>
  </si>
  <si>
    <t xml:space="preserve">NYS DOT Approval Number </t>
  </si>
  <si>
    <t>Vandal locks shall be provided on all emergency doors that can be opened from the outside of the School Bus.</t>
  </si>
  <si>
    <t>When tested with a starting temperature of at least 85°F inside and outside the School Bus, the air conditioning system must provide a minimum 20°F temperature drop throughout the interior of the School Bus within a twenty (20) minute time period.</t>
  </si>
  <si>
    <t>Number of air conditioning units
(including OEM if applicable):</t>
  </si>
  <si>
    <t>Engine shall have a manufacturer's standard water cooled engine complete with accessories, as called for under classification. Engine shall develop full-rated torque and horsepower without requiring the use of premium grade fuel for any condition of operation. If a Diesel engine is offered, it shall develop full-rated torque and horsepower with the use of both ultra low sulfur grade diesel fuel and renewable diesel fuel.</t>
  </si>
  <si>
    <t>A conversion School Bus constructed using a cutaway front-section vehicle with a left side driver’s door, with a GVWR of 10,000 pounds or less.</t>
  </si>
  <si>
    <t>Tires shall meet the minimum requirements for the Chassis Model, as published by the Chassis manufacturer.</t>
  </si>
  <si>
    <t>The unit shall be the Body manufacturer's typical recessed mounting track for a single wheelchair station.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</si>
  <si>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 xml:space="preserve">An automated photo monitoring device affixed to a School Bus in a location designated by the Authorized User, that activates when the School Bus stop arm is extended, and that is designed to detect and store an image of motor vehicles which overtake or pass School Buses in violation of Subdivision A of Section 1174 of Vehicle and Traffic Law.  </t>
  </si>
  <si>
    <t>Configure the School Bus bid for the Base Item as a Multifunction School Activity Bus as defined in FMVSS (49 CFR 571.3); (e.g., the same vehicle as the School Bus bid, except without the School Bus sign, the flashing lights for crossing Pupils, the stop arms on the sides, and the color of national school bus yellow).</t>
  </si>
  <si>
    <t>Delete one (1) full row of seating (both left and right sides) without removing a Body section from the Base Item, or altering the spacing between the remaining seats.</t>
  </si>
  <si>
    <t>Gasoline and diesel engines Base Items shall have a Twenty-Five (25) gallon fuel capacity. LPG and CNG shall have the minimum construction and protection required by NFPA.</t>
  </si>
  <si>
    <t>Low voltage fuel oil heater, Webasto Thermo Pro 90 or equivalent, used to preheat the engine coolant, for the purpose of reducing engine idling.  Heater output shall be a minimum of 30,000 BTU/H.  The heater shall be connected to the vehicle heating system using the same size and quality plumbing as the OEM Base Item. The heater shall function separately from the School Bus engine. For a School Bus that uses a fuel type other than diesel, the heater shall operate via a separate diesel fuel tank. For a diesel engine equipped School Bus, the heater shall use the same fuel tank and type of fuel supply lines as the original bus manufacturer provides.</t>
  </si>
  <si>
    <t>Description of Tab or Item</t>
  </si>
  <si>
    <t>PART 2: Pricing for the Base Item, Additional Body Section, and Additional Options</t>
  </si>
  <si>
    <t>PART 1: Product information for the Base Item(s) Awarded</t>
  </si>
  <si>
    <t>Information identifying the engine for the fuel type offered.</t>
  </si>
  <si>
    <t>The Model name of the Chassis.</t>
  </si>
  <si>
    <t>The OEM company name of a Chassis.</t>
  </si>
  <si>
    <t>The OEM code used to identify the subset of the Chassis Model.</t>
  </si>
  <si>
    <t>The Model name of the Body.</t>
  </si>
  <si>
    <t>The OEM company name of a Body.</t>
  </si>
  <si>
    <t>The OEM code used to identify the subset of the Body Model.</t>
  </si>
  <si>
    <t xml:space="preserve">The estimated delivery time for the School Bus, expressed in number of calendar days, required to make delivery after receipt of a final Purchase Order (After Receipt of Order (“ARO”)).  </t>
  </si>
  <si>
    <t xml:space="preserve">The dollar amount, per School Bus, that will be deducted from the Base Item NYS Contract Price, if the Authorized User elects to pick up the School Bus at the Contractor's location. </t>
  </si>
  <si>
    <t>The per unit NYS Contract Price (dollar amount) for the School Bus described in the Base Item Specifications. The Base Item NYS Contract Price includes any OEM fees, all customs duties and charges, all vehicle preparation and clean-up charges, NYS DOT inspection, installation charges, delivery and all other incidentals normally included with providing a School Bus, but excludes Optional Equipment, Additional Body Section(s), and Additional Options.</t>
  </si>
  <si>
    <t xml:space="preserve">The per unit NYS Contract Price (dollar amount) for adding one (1) Additional Body Section, excluding seats and other interior features, to the Base Item and the applicable Base Item NYS Contract Price. </t>
  </si>
  <si>
    <t>The minimum percentage amount that shall be deducted from the MSRP for all Additional Options purchased under the Contract for this Item.</t>
  </si>
  <si>
    <t>PART 3: Base Item Specifications</t>
  </si>
  <si>
    <t>Information provided in Yellow Cells</t>
  </si>
  <si>
    <t>PART 4: Optional Equipment Specifications</t>
  </si>
  <si>
    <t xml:space="preserve">All units with a capacity of ten (10) or more Pupils shall be equipped with exterior reflective markings as required by FMVSS (49 CFR 571.217) and NYCRR (Title 15, Department of Motor Vehicles, Part D, 46.12).  </t>
  </si>
  <si>
    <t>PART 4: Optional Equipment NYS Contract Pricing</t>
  </si>
  <si>
    <t>Optional Equipment (see Specifications and Equipment Provided below)</t>
  </si>
  <si>
    <t>The unit shall be the Body manufacturer's typical recessed mounting track on a raised flat floor throughout the entire passenger area to rear of front wheel wells, with tracks that would allow for multiple configurations of seats and wheelchair tie down positions that can be readily changed. Unit does NOT include mounting upgrades for seating mounts to be compatible with the track, wheelchair restraints, or seats.
Insulated flooring contiguous to all track inserts shall be a non-hazardous material that is either not susceptible to, or is treated to prevent, decay and dry-rot. Additionally, the contiguous joint(s) between the floor pan and/or its insulating floor materials and/or rubber finish flooring shall have a non-hazardous adhesive/sealant that prevents moisture from migrating to any adjacent untreated floor-insulating materials that are subject to rotting.</t>
  </si>
  <si>
    <t>LOT A (Item 4-G)</t>
  </si>
  <si>
    <t>Type A-2, DRW, Cutaway, 4 Rows
(Gasoline; Minimum 24 Pupils)</t>
  </si>
  <si>
    <t>Minimum four (4) rows for twenty-four (24) Pupils.</t>
  </si>
  <si>
    <t xml:space="preserve">Front radial tires size (load range letter)
</t>
  </si>
  <si>
    <t xml:space="preserve">Front radial tires capacity
</t>
  </si>
  <si>
    <t xml:space="preserve">Rear radial tires size (load range letter)
</t>
  </si>
  <si>
    <t xml:space="preserve">Rear radial tires capacity
</t>
  </si>
  <si>
    <t>Fuel Types Awarded</t>
  </si>
  <si>
    <t>Gasoline and diesel engines Base Items shall have a Thirty (30) gallon fuel capacity. LPG and CNG shall have the minimum construction and protection required by NFPA.</t>
  </si>
  <si>
    <t>Ford</t>
  </si>
  <si>
    <t>Not Available</t>
  </si>
  <si>
    <t>Tab Name</t>
  </si>
  <si>
    <t>Included in Base Item</t>
  </si>
  <si>
    <t>Electric</t>
  </si>
  <si>
    <t>Propulsion System</t>
  </si>
  <si>
    <t>Propulsion system which furnishes high-wattage electric power to the motor(s), that propels the vehicle forward or backward, and is sometimes referred to as the “main or power drive circuitry.”</t>
  </si>
  <si>
    <t>Vehicle range on full charge [miles]:</t>
  </si>
  <si>
    <t>Number of Batteries:</t>
  </si>
  <si>
    <t>Type of Batteries:</t>
  </si>
  <si>
    <t>System Design Voltage:</t>
  </si>
  <si>
    <t xml:space="preserve">The NYS DOT Approval Number for the School Bus. Only School Buses approved by NYS DOT Passenger Carrier Safety Bureau for use as 2022 and newer Models, as indicated by a NYS DOT Approval Number, shall be delivered pursuant to the Contract. </t>
  </si>
  <si>
    <t>PPI Series ID</t>
  </si>
  <si>
    <t>10/2017 PPI</t>
  </si>
  <si>
    <t>Adj. Factor</t>
  </si>
  <si>
    <t>Round to 1000th</t>
  </si>
  <si>
    <t>WPU1413</t>
  </si>
  <si>
    <t>Direct</t>
  </si>
  <si>
    <t xml:space="preserve">Heater Power Source: </t>
  </si>
  <si>
    <r>
      <t xml:space="preserve">The Contractor has been awarded the following Items, and shall offer Base Items, Optional Equipment and Additional Body Sections sold under the Contract at net prices that are equal to the applicable NYS Contract Price that is listed on the Contract Pricelist, or less.  An Authorized User may choose to add one (1) or more of the Optional Equipment from the list of Optional Equipment, and/or Additional Body Sections, associated with the Base Item (see Contract Section 3.7 </t>
    </r>
    <r>
      <rPr>
        <i/>
        <sz val="10"/>
        <rFont val="Arial"/>
        <family val="2"/>
      </rPr>
      <t>Optional Equipment and Additional Body Sections</t>
    </r>
    <r>
      <rPr>
        <sz val="10"/>
        <rFont val="Arial"/>
        <family val="2"/>
      </rPr>
      <t xml:space="preserve">). Additional Options offered by the Contractor, that are listed on the OEM or Contractor-Published Pricelist(s), may also be requested by the Authorized User (see Contract Section 3.8 </t>
    </r>
    <r>
      <rPr>
        <i/>
        <sz val="10"/>
        <rFont val="Arial"/>
        <family val="2"/>
      </rPr>
      <t>Additional Options</t>
    </r>
    <r>
      <rPr>
        <sz val="10"/>
        <rFont val="Arial"/>
        <family val="2"/>
      </rPr>
      <t xml:space="preserve">). </t>
    </r>
  </si>
  <si>
    <t>Shall be manufacturer’s high headroom body not less than 74-inches.</t>
  </si>
  <si>
    <t>High Headroom</t>
  </si>
  <si>
    <t xml:space="preserve">Rear radial tires capacity
 [_____,_____-lbs]:
</t>
  </si>
  <si>
    <t xml:space="preserve">Rear radial tires size (load range letter)
[LT_____/_____R_____._____(_____)]:
</t>
  </si>
  <si>
    <t xml:space="preserve">Front radial tires capacity
 [_____,_____-lbs]:
</t>
  </si>
  <si>
    <t xml:space="preserve">Front radial tires size (load range letter)
[LT_____/_____R_____._____(_____)]:
</t>
  </si>
  <si>
    <t>All-season tread, tubeless, radial tires having a Federal class designation S/T or STC shall be provided.  Tires shall be Michelin XDS, XDS-2, XZY3, or Compatible Equivalent. The price entered for this Optional Equipment shall be for six (6) tires.  Tires furnished on the rear wheels shall be the same size and adequate for axle's GAWR.</t>
  </si>
  <si>
    <t>ELECTRIC</t>
  </si>
  <si>
    <t xml:space="preserve">Tires (All-Season) </t>
  </si>
  <si>
    <t>Tires (Snow) for 4 tires</t>
  </si>
  <si>
    <t xml:space="preserve">Shall be entrance-door activated, electric or air-positioning type, and be provided streetside on all School Buses.  It shall be compliant with FMVSS (49 CFR 571.131).  Buses with a capacity of 45 persons or more shall have an additional and same model stop-arm at the rear streetside of the bus. </t>
  </si>
  <si>
    <t>Seat belts shall be provided for each individual seating space.  Seat belts shall meet current federal safety standards and shall be of a type approved by, and installed in accordance, with the rules and regulations established by NYS DOT in subdivision five (5) of section three-hundred eighty-three (383) of the New York State Vehicle and Traffic Laws dated July 30, 1986 and NYCRR, Title 17, Part 720, or the latest revision thereof.</t>
  </si>
  <si>
    <t>The vertical rectangular exterior driving mirrors shall be the heated defrosting type with their own switch and pilot light.  Crossview mirrors shall be provided at front corners of each bus.</t>
  </si>
  <si>
    <t>Structural, tread and riser members shall be constructed entirely of rust/corrosion-resistant steel, components and fasteners or materials of equivalent or stronger structural integrity.  Manufacturer's standard floor/stair coverings shall be used for finish surfaces.</t>
  </si>
  <si>
    <t>Stepwell (Entrance)</t>
  </si>
  <si>
    <t>Minimum 24 inch opening.</t>
  </si>
  <si>
    <t>An electrical horn(s) shall be provided that meets SAE standard J377.  An air horn shall not be an approved Compatible Equivalent.</t>
  </si>
  <si>
    <t>Automatic transmission with manufacturer's standard or optional temperature indicator at the operator's control panel.</t>
  </si>
  <si>
    <t>Antilock Brake System (ABS), and an audio &amp; visual warning system for system malfunctions.</t>
  </si>
  <si>
    <t>Brakes</t>
  </si>
  <si>
    <t>Air Dryer size, Make &amp; Model:</t>
  </si>
  <si>
    <t>Air Compressor size, Make &amp; Model:</t>
  </si>
  <si>
    <t xml:space="preserve">Chassis manufacturer's typical full air service brake system.  A liquid-cooled, engine-lubricated air compressor, that is compliant with FMVSS (49 CFR 571.121.S5.1.1.), shall be provided. The air brake system shall be equipped with an automatic drain valve on the wet tank that may be unheated, a valve that can be manually opened on each air tank, and an air dryer/ejector that may be unheated.  The system shall include a spring set parking brake.  System shall be compliant with FMVSS (49 CFR 571.121), including the latest revision thereof. All brakes shall have automatic slack adjusters. </t>
  </si>
  <si>
    <t>Forward tilting style cowl/hood assembly.</t>
  </si>
  <si>
    <t>Cowl/Hood</t>
  </si>
  <si>
    <t>The estimated delivery time for the School Bus, expressed in number of calendar days, required to make delivery after receipt of a final Purchase Order (After Receipt of Order (“ARO”))</t>
  </si>
  <si>
    <t>The dollar amount, per School Bus, that will be deducted from the Base Item NYS Contract Price, if the Authorized User elects to pick up the School Bus at the Contractor's location.</t>
  </si>
  <si>
    <t>The Model name of the Body</t>
  </si>
  <si>
    <t>The Model name of the Chassis</t>
  </si>
  <si>
    <t>NYS DOT Approval Number</t>
  </si>
  <si>
    <t>The NYS DOT Approval Number for the School Bus. Only School Buses approved by NYS DOT Passenger Carrier Safety Bureau for use as 2022 and newer Models, as indicated by a NYS DOT Approval Number, shall be delivered pursuant to the Contract.</t>
  </si>
  <si>
    <t>Attachment 1 - Summary</t>
  </si>
  <si>
    <r>
      <t xml:space="preserve">Summary of Attachment 1 - </t>
    </r>
    <r>
      <rPr>
        <i/>
        <sz val="10"/>
        <rFont val="Arial"/>
        <family val="2"/>
      </rPr>
      <t>Specifications and Pricing</t>
    </r>
    <r>
      <rPr>
        <sz val="10"/>
        <rFont val="Arial"/>
        <family val="2"/>
      </rPr>
      <t xml:space="preserve"> (this worksheet)</t>
    </r>
  </si>
  <si>
    <t>Item Availability by County
(Under this Contract)</t>
  </si>
  <si>
    <t>C (Item 1-D)</t>
  </si>
  <si>
    <t xml:space="preserve">Lot C (Item 1-D): Type C, Conventional Bus </t>
  </si>
  <si>
    <t>C (Item 2-D)</t>
  </si>
  <si>
    <t xml:space="preserve">Lot C (Item 2-D): Type C, Conventional Bus </t>
  </si>
  <si>
    <t>Minimum 46</t>
  </si>
  <si>
    <t>Diesel, Gasoline, LPG</t>
  </si>
  <si>
    <t>C (Item 3-D)</t>
  </si>
  <si>
    <t>Minimum 58</t>
  </si>
  <si>
    <t>C (Item 4-D)</t>
  </si>
  <si>
    <t>Lot C (Item 3-D): Type C, Conventional Bus</t>
  </si>
  <si>
    <t>Lot C (Item 4-D): Type C, Conventional Bus</t>
  </si>
  <si>
    <t>Minimum 64</t>
  </si>
  <si>
    <t>C (Item 4-EV)</t>
  </si>
  <si>
    <t>Lot C (Item 4-EV): Type C, Conventional Bus</t>
  </si>
  <si>
    <t>Gas</t>
  </si>
  <si>
    <t>Number and location of fuel tanks:</t>
  </si>
  <si>
    <t>Capacity [gallons/cu. ft.]:</t>
  </si>
  <si>
    <t>Diesel and gasoline engine Base Items shall have a thirty (30) gallon fuel capacity. LPG and CNG shall have the minimum construction and protection required by NFPA</t>
  </si>
  <si>
    <t>Cold Cranking Amp (CCA) 
rating of each battery at 0oF</t>
  </si>
  <si>
    <t>Three (3) "No Maintenance" type batteries with a total capacity of 2400-CCA and a 145-minute reserve capacity. The battery cables (- and +) shall be the same size and weight and be equal to (or better than) the larger cable recommended by the School Bus manufacturer.</t>
  </si>
  <si>
    <t>Engine shall include silicone radiator and heater hoses (or equivalently rated/warranted). Diesel engine shall include cold weather starting aid.</t>
  </si>
  <si>
    <t>Engine Equipment</t>
  </si>
  <si>
    <t>Engine shall have a manufacturer's standard water cooled engine complete with accessories, as called for under classification. Engine shall develop full-rated torque and horsepower without requiring the use of premium grade fuel for any condition of operation. The Diesel engine shall develop full-rated torque and horsepower with the use of both ultra low sulfur grade diesel fuel and renewable diesel fuel.</t>
  </si>
  <si>
    <t>18.7 CFM, Cummins</t>
  </si>
  <si>
    <t xml:space="preserve">Minimum twenty-eight (28) Pupils. </t>
  </si>
  <si>
    <t>A School Bus with a Body installed upon a cowl and Chassis constructed using a chassis with a hood and front fender assembly. All of the engine is in front of the windshield and the entrance door is behind the front wheels. This is also known as a conventional school bus. This type also includes the cutaway truck chassis or truck chassis with cab, with or without a left side door, and with a GVWR greater than 16,000 pounds.</t>
  </si>
  <si>
    <t>`</t>
  </si>
  <si>
    <t>Type C, 28 Pupil Conventional Front-Engine Bus 
(Diesel, Minimum 28 Pupils)</t>
  </si>
  <si>
    <t>LOT C (Item 1-D)</t>
  </si>
  <si>
    <t xml:space="preserve">Minimum forty-six (46) Pupils. </t>
  </si>
  <si>
    <t>Type C, 46 Pupil Conventional Front-Engine Bus 
(Diesel, Minimum 46 Pupils)</t>
  </si>
  <si>
    <t>Diesel and gasoline engine Base Items shall have a sixty (60) gallon fuel capacity. LPG and CNG shall have the minimum construction and protection required by NFPA</t>
  </si>
  <si>
    <t xml:space="preserve">Minimum fifty-eight (58) Pupils. </t>
  </si>
  <si>
    <t>Type C, 58 Pupil Conventional Front-Engine Bus 
(Diesel, Minimum 58 Pupils)</t>
  </si>
  <si>
    <t>LOT C (Item 3-D)</t>
  </si>
  <si>
    <t>LPG</t>
  </si>
  <si>
    <t xml:space="preserve">Minimum sixty-four (64) Pupils. </t>
  </si>
  <si>
    <t>Type C, 64 Pupil Conventional Front-Engine Bus 
(Diesel, Minimum 64 Pupils)</t>
  </si>
  <si>
    <t>LOT C (Item 4-D)</t>
  </si>
  <si>
    <t>Type C, 64 Pupil Conventional Front-Engine Bus 
(Electric, Minimum 64 Pupils)</t>
  </si>
  <si>
    <t>LOT C (Item 4-EV)</t>
  </si>
  <si>
    <t>Delete Exterior LED Lamps</t>
  </si>
  <si>
    <t>08/2022 PPI</t>
  </si>
  <si>
    <t xml:space="preserve"> </t>
  </si>
  <si>
    <t>11R22.5 (H)</t>
  </si>
  <si>
    <t>Provide information on power source for air conditioning unit(s). (Propulsion Battery(ies), Auxiliary Battery(ies) or Fuel Source)</t>
  </si>
  <si>
    <t>Propulsion Batteries</t>
  </si>
  <si>
    <t>A (Item 4-EV)</t>
  </si>
  <si>
    <t>Lot A (Item 4-EV): Type A-2, DRW, Cutaway, 4 Rows</t>
  </si>
  <si>
    <t>Minimum 20</t>
  </si>
  <si>
    <t>A (Item 4-G)</t>
  </si>
  <si>
    <t>A (Item 5-G)</t>
  </si>
  <si>
    <t>A (Item 3-G)</t>
  </si>
  <si>
    <t>A (Item 2-G)</t>
  </si>
  <si>
    <t>Minimum 16</t>
  </si>
  <si>
    <t>Minimum 30</t>
  </si>
  <si>
    <t>Lot A (Item 5-G): Type A-2, DRW, Cutaway, 5 Rows</t>
  </si>
  <si>
    <t>Lot A (Item 4-G): Type A-2, DRW, Cutaway, 4 Rows</t>
  </si>
  <si>
    <t>Lot A (Item 3-G): Type A-2, DRW, Cutaway, 4 Rows</t>
  </si>
  <si>
    <t>Lot A (Item 2-G): Type A-1, SRW, Cutaway, 4 Rows</t>
  </si>
  <si>
    <t>Minimum 77</t>
  </si>
  <si>
    <t>Chevrolet / 
Trans Tech</t>
  </si>
  <si>
    <t>TP3</t>
  </si>
  <si>
    <t>E-350</t>
  </si>
  <si>
    <t>Minimum five (5) rows for thirty (30) Pupils.</t>
  </si>
  <si>
    <t>Type A-2, DRW, Cutaway, 5 Rows
(Gasoline; Minimum 30 Pupils)</t>
  </si>
  <si>
    <t>LOT A (Item 5-G)</t>
  </si>
  <si>
    <t>E-450</t>
  </si>
  <si>
    <t>Units shall have headlights turned on when the propulsion system is on.</t>
  </si>
  <si>
    <t>Information identifying the Make and Model propulsion system offered.</t>
  </si>
  <si>
    <t>Provide information on power source for heater unit(s). (Propulsion Battery(ies), Auxiliary Battery(ies) or Fuel Source)</t>
  </si>
  <si>
    <t>Provide information on power source for heater unit. (Propulsion Battery(ies), Auxiliary Battery(ies) or Fuel Source)</t>
  </si>
  <si>
    <t>Type A-2, DRW, Cutaway, 4 Rows
(Electric; Minimum 24 Pupils)</t>
  </si>
  <si>
    <t>LOT A (Item 4-EV)</t>
  </si>
  <si>
    <t>A (Item 5-EV)</t>
  </si>
  <si>
    <t>Lot D (Item 1-D): Type D, Forward Control Transit Style Bus</t>
  </si>
  <si>
    <t>D (Item 1-D)</t>
  </si>
  <si>
    <t>D (Item 2-D)</t>
  </si>
  <si>
    <t>D (Item 3-D)</t>
  </si>
  <si>
    <t>D (Item 4-D)</t>
  </si>
  <si>
    <t>D (Item 4-EV)</t>
  </si>
  <si>
    <t>D (Item 5-D)</t>
  </si>
  <si>
    <t>D (Item 5-EV)</t>
  </si>
  <si>
    <t>Minimum 65</t>
  </si>
  <si>
    <t>Minimum 72</t>
  </si>
  <si>
    <t>Lot D (Item 2-D): Type D, Forward Control Transit Style Bus</t>
  </si>
  <si>
    <t>Lot D (Item 3-D): Type D, Forward Control Transit Style Bus</t>
  </si>
  <si>
    <t>Lot D (Item 4-D): Type D, Rear Engine (Pusher) Bus</t>
  </si>
  <si>
    <t>Lot D (Item 4-EV): Type D, Rear Engine (Pusher) Bus</t>
  </si>
  <si>
    <t>Lot D (Item 5-D): Type D, Rear Engine (Pusher) Bus</t>
  </si>
  <si>
    <t>Lot D (Item 5-EV): Type D, Rear Engine (Pusher) Bus</t>
  </si>
  <si>
    <t>Lot A (Item 5-EV): Type A-2, DRW, Cutaway, 5 Rows</t>
  </si>
  <si>
    <t>Gasoline, LPG</t>
  </si>
  <si>
    <t>LV1, 4.3L, 6 Cyl., 276HP @5,200 RPM, 298 Ft. Lbs. torque @ 3,900 RPM</t>
  </si>
  <si>
    <t>1659-NY-16-00WC-MBI</t>
  </si>
  <si>
    <t>General Motors</t>
  </si>
  <si>
    <t>U33503-SG3</t>
  </si>
  <si>
    <t>Microbird</t>
  </si>
  <si>
    <t>MBII</t>
  </si>
  <si>
    <t>UGQD4NLDSQ</t>
  </si>
  <si>
    <t>210-270</t>
  </si>
  <si>
    <t>LT245/75R 16 ( E )</t>
  </si>
  <si>
    <t>XLP</t>
  </si>
  <si>
    <t>Bridgestone, All Season</t>
  </si>
  <si>
    <t>YLP</t>
  </si>
  <si>
    <t>w/OD</t>
  </si>
  <si>
    <t>M5U</t>
  </si>
  <si>
    <t>KW5, GM OEM</t>
  </si>
  <si>
    <t>O/O 24"</t>
  </si>
  <si>
    <t>32 Gallons</t>
  </si>
  <si>
    <t>SMI, SE27900-SP</t>
  </si>
  <si>
    <t>Lucidity Enterprise, 12958A/R</t>
  </si>
  <si>
    <t>Delete two seats with lap belts and seat equipment</t>
  </si>
  <si>
    <t>Child Check-mate, EP2</t>
  </si>
  <si>
    <t>Included in Base Price</t>
  </si>
  <si>
    <t>Locking Differential</t>
  </si>
  <si>
    <t>3,042 lbs</t>
  </si>
  <si>
    <t>CHA131</t>
  </si>
  <si>
    <t>Firestone, Winterforce</t>
  </si>
  <si>
    <t>Q-Straint L-Track, 5/8th Plywood Floor, Sealed  One Position</t>
  </si>
  <si>
    <t>Ricon, S2005</t>
  </si>
  <si>
    <t>800lbs</t>
  </si>
  <si>
    <t>PRW</t>
  </si>
  <si>
    <t>HDA, 42,000 BTU</t>
  </si>
  <si>
    <t>Microbird, I30</t>
  </si>
  <si>
    <t>Nova XH, SVDC-FD20-XX</t>
  </si>
  <si>
    <t>Q-Straint L-Track, 5/8th Plywood Floor, Sealed, Complete Track Both Sides, LTS-CT and LTS-CTR</t>
  </si>
  <si>
    <t>Ford / 
Microbird</t>
  </si>
  <si>
    <t>99k, Ford 7.3L, 8 cylinder, 300 HP@ 3,900 RMP, 425 Ft. Lbs Torque @ 3,250 RPM</t>
  </si>
  <si>
    <t>1643-NY-20-00WC-MBI</t>
  </si>
  <si>
    <t>U158-DNF</t>
  </si>
  <si>
    <t>G5</t>
  </si>
  <si>
    <t>UFH51NHWST</t>
  </si>
  <si>
    <t>DRW</t>
  </si>
  <si>
    <t>LT225/75RX16-E</t>
  </si>
  <si>
    <t>LT225/75RX16-(E)</t>
  </si>
  <si>
    <t>T68</t>
  </si>
  <si>
    <t>Hankook All Season</t>
  </si>
  <si>
    <t>w/ O/D</t>
  </si>
  <si>
    <t>44P</t>
  </si>
  <si>
    <t>ALT-21, Ford OEM</t>
  </si>
  <si>
    <t>BAT-21</t>
  </si>
  <si>
    <t>O/O 32"</t>
  </si>
  <si>
    <t>40 Gallons</t>
  </si>
  <si>
    <t>Limited Slip</t>
  </si>
  <si>
    <t>LT225/75R16-E</t>
  </si>
  <si>
    <t>CHA129</t>
  </si>
  <si>
    <t>Goodyear, Workhorse</t>
  </si>
  <si>
    <t>Spheros, 11134773A</t>
  </si>
  <si>
    <t>L8T, 6.6L, 8 Cyl., 401HP @5,200 RPM, 464 Ft. Lbs. torque @ 4,000 RPM</t>
  </si>
  <si>
    <t>1650-NY-20-00WC-MBI</t>
  </si>
  <si>
    <t>U335-DG66</t>
  </si>
  <si>
    <t>UGU51NHWST</t>
  </si>
  <si>
    <t>General Motors / 
Microbird</t>
  </si>
  <si>
    <t>LT225/75R16-(E)</t>
  </si>
  <si>
    <t>XHF</t>
  </si>
  <si>
    <t>Grabber HTS</t>
  </si>
  <si>
    <t>MYD, GM</t>
  </si>
  <si>
    <t>General Motors / Microbird</t>
  </si>
  <si>
    <t>1597-NY-24-00WC-MBI</t>
  </si>
  <si>
    <t>UGU51NHWSS</t>
  </si>
  <si>
    <t>Ford / Microbird</t>
  </si>
  <si>
    <t>Remy 215HP (160KW),
206lbs-pi (280N-m) with
Drive TM4</t>
  </si>
  <si>
    <t>751-NY-24-00WC-MBI</t>
  </si>
  <si>
    <t>UFG52NYWSP</t>
  </si>
  <si>
    <t>210-365</t>
  </si>
  <si>
    <t>EVPT, Bert B6C4</t>
  </si>
  <si>
    <t>Lithium-ion</t>
  </si>
  <si>
    <t>High Voltage System</t>
  </si>
  <si>
    <t>Add two seats with lap belts and seat equipment</t>
  </si>
  <si>
    <t>Propulsion</t>
  </si>
  <si>
    <t>1546-NY-30-00WC-MBI</t>
  </si>
  <si>
    <t>1645-NY-30-00WC-MBI</t>
  </si>
  <si>
    <t>E-Series</t>
  </si>
  <si>
    <t>UFH52NHWST</t>
  </si>
  <si>
    <t>1599-NY-30-00WC-MBI</t>
  </si>
  <si>
    <t>U338-DG66</t>
  </si>
  <si>
    <t>UGU52NHWSS</t>
  </si>
  <si>
    <t>1646-NY-30-00WC-MBI</t>
  </si>
  <si>
    <t>LOT A (Item 5-EV)</t>
  </si>
  <si>
    <t>Type A-2, DRW, Cutaway, 5 Rows
(Electric; Minimum 30 Pupils)</t>
  </si>
  <si>
    <t>Delete External LED Lamps</t>
  </si>
  <si>
    <t>40166-03, Ford 7.3L; 8 Cyl, 350 HP @3,900 RPM, 468 lb. ft. torque @ 3,900 RPM</t>
  </si>
  <si>
    <t>2141-NY-42-00WC-BBB</t>
  </si>
  <si>
    <t>2125-NY-36-00WC-BBB</t>
  </si>
  <si>
    <t>40179-47; Cummins B6.7; 6 Cyl, 6.7L, 200HP at 2,400 RPM, 520 lb. ft. torque @ 1,600 RPM.</t>
  </si>
  <si>
    <t>Blue Bird</t>
  </si>
  <si>
    <t>BBCV</t>
  </si>
  <si>
    <t>Vision</t>
  </si>
  <si>
    <t>90.75"</t>
  </si>
  <si>
    <t>77"</t>
  </si>
  <si>
    <t>7" x 10.3" Bendix AD-IP</t>
  </si>
  <si>
    <t>40356-13</t>
  </si>
  <si>
    <t>Kumho, KRS12E</t>
  </si>
  <si>
    <t>40432-14, Allison 2500</t>
  </si>
  <si>
    <t>40108-01</t>
  </si>
  <si>
    <t>40134-07, L/N AVI160</t>
  </si>
  <si>
    <t>40142-06</t>
  </si>
  <si>
    <t>O/O 27"</t>
  </si>
  <si>
    <t>45 Gallons</t>
  </si>
  <si>
    <t>1 Center Mount, Aft of axle</t>
  </si>
  <si>
    <t>Electric, Specialty SE27970D-SP</t>
  </si>
  <si>
    <t>Lucidity 00124870/72</t>
  </si>
  <si>
    <t>Gasoline is 42 Passenger, approval number 2141-NY-42-00WC-BBB</t>
  </si>
  <si>
    <t>Delete two rear seats with lap belts</t>
  </si>
  <si>
    <t>Child Check Mate, CCM-3</t>
  </si>
  <si>
    <t>Rear windows, rear emergency door, p/o windows, side windows</t>
  </si>
  <si>
    <t>40018-60, No Spin</t>
  </si>
  <si>
    <t>40356-09</t>
  </si>
  <si>
    <t>Kumho, KRD23</t>
  </si>
  <si>
    <t>02841-01; Four Flanged L Track; 5/8th Plywood Floor, Sealed.  One Position</t>
  </si>
  <si>
    <t>02834-36 Four Flanged L Track; 5/8th Plywood Floor, Sealed, 30940-01 Flat Floor</t>
  </si>
  <si>
    <t>Ricon, RIS5510</t>
  </si>
  <si>
    <t>Spheros "Smart Hatch"</t>
  </si>
  <si>
    <t>Espar, E-Guardian</t>
  </si>
  <si>
    <t>42KBTU</t>
  </si>
  <si>
    <t>BB/Southco #30981-03 - Ent Dr.; Stanley 00219-01, -03 RED</t>
  </si>
  <si>
    <t>2127-NY-48-00WC-BBB</t>
  </si>
  <si>
    <t>217"</t>
  </si>
  <si>
    <t>393.29"</t>
  </si>
  <si>
    <t>261.75"</t>
  </si>
  <si>
    <t>60 Gallons</t>
  </si>
  <si>
    <t>02834-54 Four Flanged L Track; 5/8th Plywood Floor, Sealed, 30940-01 Flat Floor</t>
  </si>
  <si>
    <t>BB/Southco #30981-03 - Ent Dr.; Stanley 00219-01, -03 SED &amp; RED</t>
  </si>
  <si>
    <t>2212-NY-59-00WC-BBB</t>
  </si>
  <si>
    <t>238"</t>
  </si>
  <si>
    <t>414.29"</t>
  </si>
  <si>
    <t>282.75"</t>
  </si>
  <si>
    <t>02834-60 Four Flanged L Track; 5/8th Plywood Floor, Sealed, 30940-01 Flat Floor</t>
  </si>
  <si>
    <t>2147-NY-65-00WC-BBB</t>
  </si>
  <si>
    <t>02834-66 Four Flanged L Track; 5/8th Plywood Floor, Sealed, 30940-01 Flat Floor</t>
  </si>
  <si>
    <t>TM4 LSM200CHV3000; Six Phase AC Perm. Magnet Induct. Motor; 315 Peak HP, 2400 Peak Torque</t>
  </si>
  <si>
    <t>AirSquared, P17H043D</t>
  </si>
  <si>
    <t>N/A - No Transmission</t>
  </si>
  <si>
    <t>14- 2 Strings of 7</t>
  </si>
  <si>
    <t>Li-NMC-G</t>
  </si>
  <si>
    <t>Type D, 72 Pupil Rear Engine (Pusher) Bus
(Electric; Minimum 72 Pupils, Maximum 84 Pupils)</t>
  </si>
  <si>
    <t>235.5"</t>
  </si>
  <si>
    <t>352.9"</t>
  </si>
  <si>
    <t>141"</t>
  </si>
  <si>
    <t>A School Bus with a Body installed upon a Chassis or unitized type construction, with the engine mounted in the front with a GVWR of greater than 16,000 pounds and designed to carry more than 10 persons. The engine shall be behind the windshield and beside the driver’s seat. The entrance door is ahead of the front wheels.</t>
  </si>
  <si>
    <t>All American</t>
  </si>
  <si>
    <t>T3FE</t>
  </si>
  <si>
    <t>LOT D (Item 1-D)</t>
  </si>
  <si>
    <t xml:space="preserve">Minimum sixty-five (65) Pupils. </t>
  </si>
  <si>
    <t>Type D, 65 Pupil Forward Control Transit Style Bus
(Diesel; Minimum 65 Pupils)</t>
  </si>
  <si>
    <t>LOT D (Item 2-D)</t>
  </si>
  <si>
    <t xml:space="preserve">Minimum seventy-seven (77) Pupils. </t>
  </si>
  <si>
    <t>Type D, 77 Pupil Forward Control Transit Style Bus
(Diesel; Minimum 77 Pupils)</t>
  </si>
  <si>
    <t>LOT D (Item 3-D)</t>
  </si>
  <si>
    <t>Shall include lower glass, and shall be located on side of the School Bus.</t>
  </si>
  <si>
    <t>A School Bus with a Body installed upon a Chassis or unitized type construction, with the engine mounted in the rear with a GVWR of greater than 16,000 pounds and designed to carry more than 10 persons. The engine shall be at the rear of the bus, behind the rear wheels. The entrance door is ahead of the front wheels.</t>
  </si>
  <si>
    <t>T3RE</t>
  </si>
  <si>
    <t>Type D, 65 Pupil Rear Engine (Pusher) Bus
(Diesel; Minimum 65 Pupils)</t>
  </si>
  <si>
    <t>LOT D (Item 4-D)</t>
  </si>
  <si>
    <r>
      <t xml:space="preserve">Minimum passenger compartment heating shall meet the requirements of NYCRR, Title 17, Part 720.4(I) </t>
    </r>
    <r>
      <rPr>
        <i/>
        <sz val="10"/>
        <color theme="1"/>
        <rFont val="Arial"/>
        <family val="2"/>
      </rPr>
      <t>Heaters</t>
    </r>
    <r>
      <rPr>
        <sz val="10"/>
        <color theme="1"/>
        <rFont val="Arial"/>
        <family val="2"/>
      </rPr>
      <t>, or the latest revision thereof.</t>
    </r>
  </si>
  <si>
    <t>2063-54-00WC-BBB</t>
  </si>
  <si>
    <t>Type D, 53 Pupil Forward Control Transit Style Bus
(Diesel; Minimum 24 Pupils, Maximum 64 Pupils)</t>
  </si>
  <si>
    <t>MGM</t>
  </si>
  <si>
    <t>KRS12E</t>
  </si>
  <si>
    <t>1 w/ O.D</t>
  </si>
  <si>
    <t>40432-14: Allison 2500PTS</t>
  </si>
  <si>
    <t>O/O Electric, 32"</t>
  </si>
  <si>
    <t>2112-NY-66-00WC-BBB</t>
  </si>
  <si>
    <t>02834-72 Four Flanged L Track; 5/8th Plywood Floor, Sealed, 30940-01 Flat Floor</t>
  </si>
  <si>
    <t>Air</t>
  </si>
  <si>
    <t xml:space="preserve">Minimum seventy-two (72) Pupils. </t>
  </si>
  <si>
    <t>Type D, 72 Pupil Rear Engine (Pusher) Bus
(Diesel; Minimum 72 Pupils)</t>
  </si>
  <si>
    <t>LOT D (Item 5-D)</t>
  </si>
  <si>
    <t>2107-NY-77-00WC-BBB</t>
  </si>
  <si>
    <t>2197-NY-66-00WC-BBB</t>
  </si>
  <si>
    <t>1 Center Mount, Fwd of axle</t>
  </si>
  <si>
    <t>02834-78 Four Flanged L Track; 5/8th Plywood Floor, Sealed, 30940-01 Flat Floor</t>
  </si>
  <si>
    <t>Delete two seats with lap belts</t>
  </si>
  <si>
    <t>BB/Southco #30981-03 - Ent Dr.; Stanley 00219-01, -03 SED &amp; REW</t>
  </si>
  <si>
    <t>2195-NY-72-00WC-BBB</t>
  </si>
  <si>
    <t>40134-12: Leece-Neville</t>
  </si>
  <si>
    <t>Type D, 65 Pupil Rear Engine (Pusher) Bus
(Electric; Minimum 24 Pupils)</t>
  </si>
  <si>
    <t xml:space="preserve">Minimum twenty-four (24) Pupils. </t>
  </si>
  <si>
    <t>2236-NY-65-00WC-BBB</t>
  </si>
  <si>
    <t>14 - 2 Strings of 7</t>
  </si>
  <si>
    <t>700 V</t>
  </si>
  <si>
    <t>O/O: Electric; 32"</t>
  </si>
  <si>
    <t>Specialty Man Co. SE27970D-SP</t>
  </si>
  <si>
    <t>AirSquared, 15.1 CFPM P17H043D</t>
  </si>
  <si>
    <t>PC69864 New York Bus Sales, LLC</t>
  </si>
  <si>
    <r>
      <t xml:space="preserve">All counties, </t>
    </r>
    <r>
      <rPr>
        <b/>
        <u/>
        <sz val="10"/>
        <rFont val="Arial"/>
        <family val="2"/>
      </rPr>
      <t>EXCEPT</t>
    </r>
    <r>
      <rPr>
        <sz val="10"/>
        <rFont val="Arial"/>
        <family val="2"/>
      </rPr>
      <t xml:space="preserve"> Bronx, Kings, Nassau, New York, Queens, Richmond, Suffolk, Westchester, and Rockland Counties. </t>
    </r>
    <r>
      <rPr>
        <b/>
        <sz val="10"/>
        <rFont val="Arial"/>
        <family val="2"/>
      </rPr>
      <t>For Bronx, Kings, Nassau, New York, Queens, Richmond, Suffolk, Westchester, and Rockland Counties, please see Contract PC69860, JP Bus &amp; Truck Repair, LTD DBA Bird Bus Sales.</t>
    </r>
  </si>
  <si>
    <t>LOT D (Item 5-EV)</t>
  </si>
  <si>
    <t>LOT C (Item 1-EV)</t>
  </si>
  <si>
    <t>Type C, 28 Pupil Conventional Bus 
(Electric, Minimum 28 Pupils, Maximum 45 Pupils)</t>
  </si>
  <si>
    <t>Enter information identifying the Make and Model propulsion system offered.</t>
  </si>
  <si>
    <t>2321-NY-42-00WC-BBB</t>
  </si>
  <si>
    <t>Chassis Model Year</t>
  </si>
  <si>
    <t>Enter Model Year, (e.g. 2022, 2023), of the Chassis bid</t>
  </si>
  <si>
    <t>Body Model Year</t>
  </si>
  <si>
    <t>Enter Model Year, (e.g. 2022, 2023), of the Body bid</t>
  </si>
  <si>
    <t>2 Propulsion Batteries</t>
  </si>
  <si>
    <t>LOT C (Item 2-EV)</t>
  </si>
  <si>
    <t>Type C, 46 Pupil Conventional Bus 
(Electric, Minimum 46 Pupils, Maximum 57 Pupils)</t>
  </si>
  <si>
    <t>2322-NY-48-00WC-BBB</t>
  </si>
  <si>
    <t>Enter Make, (e.g. Ford, General Motors, International, Freightliner), of the Chassis bid</t>
  </si>
  <si>
    <t xml:space="preserve">Body Model Year </t>
  </si>
  <si>
    <t>Enter Model Year or Current Production Year, (e.g. 2022, 2023) of the Body bid</t>
  </si>
  <si>
    <t>Enter Make (e.g. IC, Blue Bird, Thomas) of the Body bid</t>
  </si>
  <si>
    <t>Enter the Model name (e.g., CE, Vision, C2) of the Body bid</t>
  </si>
  <si>
    <t>Enter the Model Code (i.e., the OEM code used to identify a particular subset of a Model) of the Body bid, if applicable</t>
  </si>
  <si>
    <t xml:space="preserve">Number of air conditioning units
(including OEM if applicable): </t>
  </si>
  <si>
    <t>03/2025 PPI</t>
  </si>
  <si>
    <t>Lot C 1-EV &amp; Lot C 2-EV PPI Adj (Added Mar 2025)</t>
  </si>
  <si>
    <t>LOT D (Item 4-EV)</t>
  </si>
  <si>
    <t>Hide tab before posting</t>
  </si>
  <si>
    <t>LOT C (Item 2-D)</t>
  </si>
  <si>
    <t>10/2026 PPI</t>
  </si>
  <si>
    <r>
      <t xml:space="preserve">GROUP 40524-23254, SCHOOL BUSES (Statewide)                                                             Attachment 1 - </t>
    </r>
    <r>
      <rPr>
        <b/>
        <i/>
        <sz val="10"/>
        <rFont val="Arial"/>
        <family val="2"/>
      </rPr>
      <t>Specifications and Pricing</t>
    </r>
    <r>
      <rPr>
        <b/>
        <sz val="10"/>
        <rFont val="Arial"/>
        <family val="2"/>
      </rPr>
      <t xml:space="preserve"> (Revised October 15, 2026)</t>
    </r>
  </si>
  <si>
    <r>
      <t xml:space="preserve">Group 40524-23254, SCHOOL BUSES (Statewide)
Attachment 1 - </t>
    </r>
    <r>
      <rPr>
        <b/>
        <i/>
        <sz val="18"/>
        <rFont val="Arial"/>
        <family val="2"/>
      </rPr>
      <t>Specifications and Pricing</t>
    </r>
    <r>
      <rPr>
        <b/>
        <sz val="18"/>
        <rFont val="Arial"/>
        <family val="2"/>
      </rPr>
      <t xml:space="preserve"> (Revised October 15,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</si>
</sst>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00"/>
    <numFmt numFmtId="166" formatCode="0.0"/>
    <numFmt numFmtId="167" formatCode="0.0000"/>
  </numFmts>
  <fonts count="32" x14ac:knownFonts="1">
    <font>
      <sz val="11"/>
      <color theme="1"/>
      <name val="Calibri"/>
      <family val="2"/>
      <scheme val="minor"/>
    </font>
    <font>
      <sz val="10"/>
      <color theme="1"/>
      <name val="Arial"/>
      <family val="2"/>
    </font>
    <font>
      <sz val="11"/>
      <color theme="1"/>
      <name val="Calibri"/>
      <family val="2"/>
      <scheme val="minor"/>
    </font>
    <font>
      <b/>
      <sz val="18"/>
      <name val="Arial"/>
      <family val="2"/>
    </font>
    <font>
      <b/>
      <sz val="16"/>
      <name val="Arial"/>
      <family val="2"/>
    </font>
    <font>
      <sz val="10"/>
      <name val="Arial"/>
      <family val="2"/>
    </font>
    <font>
      <b/>
      <sz val="10"/>
      <name val="Arial"/>
      <family val="2"/>
    </font>
    <font>
      <i/>
      <sz val="10"/>
      <name val="Arial"/>
      <family val="2"/>
    </font>
    <font>
      <b/>
      <sz val="12"/>
      <name val="Arial"/>
      <family val="2"/>
    </font>
    <font>
      <b/>
      <sz val="18"/>
      <color theme="0"/>
      <name val="Arial"/>
      <family val="2"/>
    </font>
    <font>
      <sz val="12"/>
      <name val="Arial"/>
      <family val="2"/>
    </font>
    <font>
      <sz val="11"/>
      <name val="Arial"/>
      <family val="2"/>
    </font>
    <font>
      <b/>
      <u/>
      <sz val="10"/>
      <name val="Arial"/>
      <family val="2"/>
    </font>
    <font>
      <sz val="14"/>
      <name val="Arial"/>
      <family val="2"/>
    </font>
    <font>
      <b/>
      <sz val="11"/>
      <name val="Arial"/>
      <family val="2"/>
    </font>
    <font>
      <b/>
      <i/>
      <sz val="18"/>
      <name val="Arial"/>
      <family val="2"/>
    </font>
    <font>
      <b/>
      <i/>
      <sz val="10"/>
      <name val="Arial"/>
      <family val="2"/>
    </font>
    <font>
      <b/>
      <sz val="11"/>
      <color theme="3"/>
      <name val="Calibri"/>
      <family val="2"/>
      <scheme val="minor"/>
    </font>
    <font>
      <u/>
      <sz val="11"/>
      <color theme="10"/>
      <name val="Calibri"/>
      <family val="2"/>
      <scheme val="minor"/>
    </font>
    <font>
      <b/>
      <sz val="11"/>
      <name val="Calibri"/>
      <family val="2"/>
      <scheme val="minor"/>
    </font>
    <font>
      <sz val="11"/>
      <name val="Calibri"/>
      <family val="2"/>
      <scheme val="minor"/>
    </font>
    <font>
      <sz val="11"/>
      <name val="Calibri"/>
      <family val="2"/>
    </font>
    <font>
      <sz val="8"/>
      <name val="Calibri"/>
      <family val="2"/>
      <scheme val="minor"/>
    </font>
    <font>
      <b/>
      <sz val="14"/>
      <color rgb="FFFF0000"/>
      <name val="Calibri"/>
      <family val="2"/>
      <scheme val="minor"/>
    </font>
    <font>
      <sz val="10"/>
      <color theme="5" tint="0.39997558519241921"/>
      <name val="Arial"/>
      <family val="2"/>
    </font>
    <font>
      <sz val="10"/>
      <color theme="1"/>
      <name val="Arial"/>
      <family val="2"/>
    </font>
    <font>
      <b/>
      <sz val="10"/>
      <color theme="1"/>
      <name val="Arial"/>
      <family val="2"/>
    </font>
    <font>
      <b/>
      <sz val="12"/>
      <color theme="1"/>
      <name val="Arial"/>
      <family val="2"/>
    </font>
    <font>
      <i/>
      <sz val="10"/>
      <color theme="1"/>
      <name val="Arial"/>
      <family val="2"/>
    </font>
    <font>
      <sz val="10.5"/>
      <color theme="1"/>
      <name val="Arial"/>
      <family val="2"/>
    </font>
    <font>
      <b/>
      <sz val="16"/>
      <color theme="1"/>
      <name val="Arial"/>
      <family val="2"/>
    </font>
    <font>
      <b/>
      <sz val="18"/>
      <color theme="1"/>
      <name val="Arial"/>
      <family val="2"/>
    </font>
  </fonts>
  <fills count="1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66"/>
        <bgColor indexed="64"/>
      </patternFill>
    </fill>
    <fill>
      <patternFill patternType="solid">
        <fgColor rgb="FFD9D9D9"/>
        <bgColor indexed="64"/>
      </patternFill>
    </fill>
    <fill>
      <patternFill patternType="solid">
        <fgColor rgb="FF7030A0"/>
        <bgColor indexed="64"/>
      </patternFill>
    </fill>
    <fill>
      <patternFill patternType="solid">
        <fgColor rgb="FFCC66FF"/>
        <bgColor indexed="64"/>
      </patternFill>
    </fill>
    <fill>
      <patternFill patternType="solid">
        <fgColor theme="5" tint="0.59999389629810485"/>
        <bgColor indexed="64"/>
      </patternFill>
    </fill>
    <fill>
      <patternFill patternType="solid">
        <fgColor theme="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indexed="65"/>
        <bgColor indexed="64"/>
      </patternFill>
    </fill>
    <fill>
      <patternFill patternType="solid">
        <fgColor theme="8" tint="0.59999389629810485"/>
        <bgColor indexed="64"/>
      </patternFill>
    </fill>
    <fill>
      <patternFill patternType="solid">
        <fgColor theme="8"/>
        <bgColor indexed="64"/>
      </patternFill>
    </fill>
    <fill>
      <patternFill patternType="solid">
        <fgColor rgb="FF0070C0"/>
        <bgColor indexed="64"/>
      </patternFill>
    </fill>
    <fill>
      <patternFill patternType="solid">
        <fgColor rgb="FFFFFF00"/>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style="thick">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style="medium">
        <color indexed="64"/>
      </top>
      <bottom style="medium">
        <color indexed="64"/>
      </bottom>
      <diagonal/>
    </border>
    <border>
      <left/>
      <right/>
      <top style="thin">
        <color indexed="64"/>
      </top>
      <bottom style="thick">
        <color indexed="64"/>
      </bottom>
      <diagonal/>
    </border>
    <border>
      <left/>
      <right/>
      <top style="thick">
        <color indexed="64"/>
      </top>
      <bottom style="thin">
        <color indexed="64"/>
      </bottom>
      <diagonal/>
    </border>
    <border>
      <left style="thin">
        <color indexed="64"/>
      </left>
      <right/>
      <top style="medium">
        <color indexed="64"/>
      </top>
      <bottom style="thick">
        <color indexed="64"/>
      </bottom>
      <diagonal/>
    </border>
    <border>
      <left/>
      <right/>
      <top style="medium">
        <color indexed="64"/>
      </top>
      <bottom style="thick">
        <color indexed="64"/>
      </bottom>
      <diagonal/>
    </border>
    <border>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thick">
        <color indexed="64"/>
      </bottom>
      <diagonal/>
    </border>
    <border>
      <left/>
      <right style="medium">
        <color indexed="64"/>
      </right>
      <top style="thick">
        <color indexed="64"/>
      </top>
      <bottom style="thick">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ck">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ck">
        <color indexed="64"/>
      </bottom>
      <diagonal/>
    </border>
    <border>
      <left style="medium">
        <color indexed="64"/>
      </left>
      <right style="thin">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style="thick">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64"/>
      </bottom>
      <diagonal/>
    </border>
    <border>
      <left style="thin">
        <color indexed="64"/>
      </left>
      <right style="medium">
        <color indexed="64"/>
      </right>
      <top/>
      <bottom style="thick">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ck">
        <color indexed="64"/>
      </bottom>
      <diagonal/>
    </border>
    <border>
      <left style="medium">
        <color indexed="64"/>
      </left>
      <right style="medium">
        <color indexed="64"/>
      </right>
      <top/>
      <bottom style="thick">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diagonal/>
    </border>
    <border>
      <left/>
      <right/>
      <top/>
      <bottom style="medium">
        <color theme="4" tint="0.39997558519241921"/>
      </bottom>
      <diagonal/>
    </border>
    <border>
      <left style="thin">
        <color indexed="64"/>
      </left>
      <right style="thin">
        <color indexed="64"/>
      </right>
      <top style="thin">
        <color indexed="64"/>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ck">
        <color indexed="64"/>
      </bottom>
      <diagonal/>
    </border>
    <border>
      <left style="medium">
        <color indexed="64"/>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ck">
        <color indexed="64"/>
      </bottom>
      <diagonal/>
    </border>
    <border>
      <left style="medium">
        <color indexed="64"/>
      </left>
      <right/>
      <top/>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ck">
        <color indexed="64"/>
      </top>
      <bottom/>
      <diagonal/>
    </border>
    <border>
      <left/>
      <right/>
      <top/>
      <bottom style="medium">
        <color indexed="64"/>
      </bottom>
      <diagonal/>
    </border>
    <border>
      <left style="thin">
        <color theme="0" tint="-0.14999847407452621"/>
      </left>
      <right/>
      <top/>
      <bottom/>
      <diagonal/>
    </border>
  </borders>
  <cellStyleXfs count="5">
    <xf numFmtId="0" fontId="0" fillId="0" borderId="0"/>
    <xf numFmtId="44" fontId="2" fillId="0" borderId="0" applyFont="0" applyFill="0" applyBorder="0" applyAlignment="0" applyProtection="0"/>
    <xf numFmtId="0" fontId="5" fillId="0" borderId="0"/>
    <xf numFmtId="0" fontId="17" fillId="0" borderId="82" applyNumberFormat="0" applyFill="0" applyAlignment="0" applyProtection="0"/>
    <xf numFmtId="0" fontId="18" fillId="0" borderId="0" applyNumberFormat="0" applyFill="0" applyBorder="0" applyAlignment="0" applyProtection="0"/>
  </cellStyleXfs>
  <cellXfs count="519">
    <xf numFmtId="0" fontId="0" fillId="0" borderId="0" xfId="0"/>
    <xf numFmtId="0" fontId="5" fillId="0" borderId="0" xfId="1" applyNumberFormat="1" applyFont="1" applyFill="1" applyBorder="1" applyAlignment="1" applyProtection="1">
      <alignment horizontal="left" vertical="top" wrapText="1"/>
    </xf>
    <xf numFmtId="0" fontId="5" fillId="0" borderId="0" xfId="0" applyFont="1"/>
    <xf numFmtId="0" fontId="5" fillId="0" borderId="0" xfId="0" applyFont="1" applyAlignment="1">
      <alignment horizontal="left" vertical="center"/>
    </xf>
    <xf numFmtId="0" fontId="5" fillId="0" borderId="0" xfId="0" applyFont="1" applyAlignment="1">
      <alignment vertical="center"/>
    </xf>
    <xf numFmtId="0" fontId="11" fillId="0" borderId="0" xfId="0" applyFont="1" applyAlignment="1">
      <alignment vertical="center"/>
    </xf>
    <xf numFmtId="0" fontId="11" fillId="0" borderId="0" xfId="0" applyFont="1" applyAlignment="1">
      <alignment vertical="top"/>
    </xf>
    <xf numFmtId="0" fontId="5" fillId="0" borderId="0" xfId="0" applyFont="1" applyAlignment="1">
      <alignment vertical="top"/>
    </xf>
    <xf numFmtId="0" fontId="10" fillId="0" borderId="0" xfId="0" applyFont="1"/>
    <xf numFmtId="164" fontId="6" fillId="2" borderId="0" xfId="0" applyNumberFormat="1" applyFont="1" applyFill="1" applyAlignment="1">
      <alignment vertical="center" wrapText="1"/>
    </xf>
    <xf numFmtId="0" fontId="5" fillId="0" borderId="0" xfId="0" applyFont="1" applyAlignment="1">
      <alignment wrapText="1"/>
    </xf>
    <xf numFmtId="0" fontId="5" fillId="0" borderId="0" xfId="0" applyFont="1" applyAlignment="1">
      <alignment horizontal="right" wrapText="1"/>
    </xf>
    <xf numFmtId="0" fontId="10" fillId="0" borderId="0" xfId="0" applyFont="1" applyAlignment="1">
      <alignment wrapText="1"/>
    </xf>
    <xf numFmtId="0" fontId="5" fillId="0" borderId="0" xfId="0" applyFont="1" applyAlignment="1">
      <alignment horizontal="left" vertical="top" wrapText="1"/>
    </xf>
    <xf numFmtId="0" fontId="5" fillId="2" borderId="1" xfId="0" applyFont="1" applyFill="1" applyBorder="1" applyAlignment="1" applyProtection="1">
      <alignment horizontal="left" vertical="top" wrapText="1"/>
      <protection locked="0"/>
    </xf>
    <xf numFmtId="0" fontId="12" fillId="0" borderId="0" xfId="0" applyFont="1" applyAlignment="1">
      <alignment horizontal="left" vertical="top" wrapText="1"/>
    </xf>
    <xf numFmtId="0" fontId="5" fillId="2" borderId="13" xfId="2" applyFill="1" applyBorder="1" applyAlignment="1">
      <alignment horizontal="left" vertical="top" wrapText="1"/>
    </xf>
    <xf numFmtId="0" fontId="13" fillId="0" borderId="0" xfId="0" applyFont="1"/>
    <xf numFmtId="0" fontId="5" fillId="0" borderId="13" xfId="2" applyBorder="1" applyAlignment="1">
      <alignment vertical="top" wrapText="1"/>
    </xf>
    <xf numFmtId="0" fontId="10" fillId="0" borderId="0" xfId="0" applyFont="1" applyAlignment="1">
      <alignment vertical="top"/>
    </xf>
    <xf numFmtId="0" fontId="14" fillId="5" borderId="15" xfId="0" applyFont="1" applyFill="1" applyBorder="1" applyAlignment="1">
      <alignment horizontal="left" vertical="center" wrapText="1" indent="1"/>
    </xf>
    <xf numFmtId="0" fontId="14" fillId="5" borderId="13" xfId="0" applyFont="1" applyFill="1" applyBorder="1" applyAlignment="1">
      <alignment horizontal="left" vertical="center" wrapText="1" indent="1"/>
    </xf>
    <xf numFmtId="0" fontId="14" fillId="5" borderId="16" xfId="0" applyFont="1" applyFill="1" applyBorder="1" applyAlignment="1">
      <alignment horizontal="left" vertical="center" wrapText="1" indent="1"/>
    </xf>
    <xf numFmtId="0" fontId="5" fillId="2" borderId="14" xfId="2" applyFill="1" applyBorder="1" applyAlignment="1">
      <alignment horizontal="left" vertical="top" wrapText="1"/>
    </xf>
    <xf numFmtId="0" fontId="6" fillId="3" borderId="1" xfId="0" applyFont="1" applyFill="1" applyBorder="1" applyAlignment="1">
      <alignment horizontal="left" vertical="center" wrapText="1"/>
    </xf>
    <xf numFmtId="0" fontId="6" fillId="0" borderId="0" xfId="0" applyFont="1" applyAlignment="1">
      <alignment vertical="top"/>
    </xf>
    <xf numFmtId="49" fontId="6" fillId="0" borderId="0" xfId="0" applyNumberFormat="1" applyFont="1" applyAlignment="1">
      <alignment vertical="top"/>
    </xf>
    <xf numFmtId="0" fontId="6" fillId="3" borderId="32" xfId="0" applyFont="1" applyFill="1" applyBorder="1" applyAlignment="1">
      <alignment vertical="center" wrapText="1"/>
    </xf>
    <xf numFmtId="0" fontId="5" fillId="0" borderId="17" xfId="2" applyBorder="1" applyAlignment="1">
      <alignment horizontal="left" vertical="top" wrapText="1"/>
    </xf>
    <xf numFmtId="0" fontId="5" fillId="0" borderId="14" xfId="2" applyBorder="1" applyAlignment="1">
      <alignment horizontal="left" vertical="top" wrapText="1"/>
    </xf>
    <xf numFmtId="0" fontId="5" fillId="0" borderId="13" xfId="2" applyBorder="1" applyAlignment="1">
      <alignment horizontal="left" vertical="top" wrapText="1"/>
    </xf>
    <xf numFmtId="0" fontId="6" fillId="3" borderId="29" xfId="0" applyFont="1" applyFill="1" applyBorder="1" applyAlignment="1">
      <alignment horizontal="left" vertical="center" wrapText="1"/>
    </xf>
    <xf numFmtId="0" fontId="6" fillId="3" borderId="33" xfId="0" applyFont="1" applyFill="1" applyBorder="1" applyAlignment="1">
      <alignment vertical="center" wrapText="1"/>
    </xf>
    <xf numFmtId="0" fontId="6" fillId="3" borderId="6" xfId="0" applyFont="1" applyFill="1" applyBorder="1" applyAlignment="1">
      <alignment horizontal="left" vertical="center" wrapText="1"/>
    </xf>
    <xf numFmtId="0" fontId="5" fillId="0" borderId="0" xfId="0" applyFont="1" applyAlignment="1">
      <alignment horizontal="right" vertical="top" wrapText="1"/>
    </xf>
    <xf numFmtId="0" fontId="5" fillId="0" borderId="0" xfId="0" quotePrefix="1" applyFont="1" applyAlignment="1" applyProtection="1">
      <alignment horizontal="right" vertical="top" wrapText="1"/>
      <protection locked="0"/>
    </xf>
    <xf numFmtId="164" fontId="8" fillId="0" borderId="0" xfId="0" applyNumberFormat="1" applyFont="1" applyAlignment="1">
      <alignment vertical="center"/>
    </xf>
    <xf numFmtId="0" fontId="6" fillId="0" borderId="0" xfId="0" applyFont="1" applyAlignment="1">
      <alignment vertical="center" wrapText="1"/>
    </xf>
    <xf numFmtId="164" fontId="8" fillId="0" borderId="0" xfId="0" applyNumberFormat="1" applyFont="1" applyAlignment="1">
      <alignment vertical="center" wrapText="1"/>
    </xf>
    <xf numFmtId="0" fontId="6" fillId="0" borderId="0" xfId="0" applyFont="1" applyAlignment="1">
      <alignment horizontal="left" vertical="center" wrapText="1"/>
    </xf>
    <xf numFmtId="0" fontId="6" fillId="3" borderId="37" xfId="0" applyFont="1" applyFill="1" applyBorder="1" applyAlignment="1">
      <alignment vertical="center" wrapText="1"/>
    </xf>
    <xf numFmtId="0" fontId="6" fillId="3" borderId="42" xfId="0" applyFont="1" applyFill="1" applyBorder="1" applyAlignment="1">
      <alignment horizontal="left" vertical="center" wrapText="1"/>
    </xf>
    <xf numFmtId="0" fontId="6" fillId="0" borderId="43" xfId="0" applyFont="1" applyBorder="1" applyAlignment="1">
      <alignment horizontal="left" vertical="top" wrapText="1"/>
    </xf>
    <xf numFmtId="0" fontId="6" fillId="0" borderId="45" xfId="0" applyFont="1" applyBorder="1" applyAlignment="1">
      <alignment horizontal="left" vertical="top" wrapText="1"/>
    </xf>
    <xf numFmtId="0" fontId="6" fillId="0" borderId="46" xfId="0" applyFont="1" applyBorder="1" applyAlignment="1">
      <alignment horizontal="left" vertical="top" wrapText="1"/>
    </xf>
    <xf numFmtId="0" fontId="6" fillId="0" borderId="47" xfId="0" applyFont="1" applyBorder="1" applyAlignment="1">
      <alignment horizontal="left" vertical="top" wrapText="1"/>
    </xf>
    <xf numFmtId="0" fontId="6" fillId="0" borderId="56" xfId="0" applyFont="1" applyBorder="1" applyAlignment="1">
      <alignment horizontal="left" vertical="top" wrapText="1"/>
    </xf>
    <xf numFmtId="0" fontId="6" fillId="0" borderId="60" xfId="0" applyFont="1" applyBorder="1" applyAlignment="1">
      <alignment horizontal="left" vertical="top" wrapText="1"/>
    </xf>
    <xf numFmtId="0" fontId="6" fillId="3" borderId="7" xfId="0" applyFont="1" applyFill="1" applyBorder="1" applyAlignment="1">
      <alignment horizontal="left" vertical="center" wrapText="1"/>
    </xf>
    <xf numFmtId="0" fontId="5" fillId="0" borderId="65" xfId="2" applyBorder="1" applyAlignment="1">
      <alignment horizontal="left" vertical="top" wrapText="1"/>
    </xf>
    <xf numFmtId="0" fontId="5" fillId="0" borderId="15" xfId="2" applyBorder="1" applyAlignment="1">
      <alignment horizontal="left" vertical="top" wrapText="1"/>
    </xf>
    <xf numFmtId="0" fontId="5" fillId="0" borderId="66" xfId="2" applyBorder="1" applyAlignment="1">
      <alignment horizontal="left" vertical="top" wrapText="1"/>
    </xf>
    <xf numFmtId="0" fontId="6" fillId="3" borderId="64" xfId="0" applyFont="1" applyFill="1" applyBorder="1" applyAlignment="1">
      <alignment horizontal="left" vertical="center" wrapText="1"/>
    </xf>
    <xf numFmtId="0" fontId="5" fillId="2" borderId="65" xfId="2" applyFill="1" applyBorder="1" applyAlignment="1">
      <alignment horizontal="left" vertical="top" wrapText="1"/>
    </xf>
    <xf numFmtId="0" fontId="5" fillId="0" borderId="15" xfId="2" applyBorder="1" applyAlignment="1">
      <alignment vertical="top" wrapText="1"/>
    </xf>
    <xf numFmtId="0" fontId="6" fillId="3" borderId="15" xfId="0" applyFont="1" applyFill="1" applyBorder="1" applyAlignment="1">
      <alignment horizontal="left" vertical="center" wrapText="1"/>
    </xf>
    <xf numFmtId="0" fontId="6" fillId="3" borderId="13" xfId="0" applyFont="1" applyFill="1" applyBorder="1" applyAlignment="1">
      <alignment horizontal="left" vertical="center" wrapText="1"/>
    </xf>
    <xf numFmtId="2" fontId="5" fillId="0" borderId="0" xfId="0" applyNumberFormat="1" applyFont="1" applyAlignment="1">
      <alignment horizontal="left" vertical="center" wrapText="1"/>
    </xf>
    <xf numFmtId="0" fontId="6" fillId="0" borderId="0" xfId="0" applyFont="1" applyAlignment="1">
      <alignment horizontal="left" vertical="top" wrapText="1"/>
    </xf>
    <xf numFmtId="0" fontId="19" fillId="0" borderId="0" xfId="3" applyFont="1" applyBorder="1" applyAlignment="1">
      <alignment horizontal="center" vertical="top"/>
    </xf>
    <xf numFmtId="165" fontId="20" fillId="0" borderId="0" xfId="0" applyNumberFormat="1" applyFont="1" applyAlignment="1">
      <alignment horizontal="center" vertical="top"/>
    </xf>
    <xf numFmtId="0" fontId="18" fillId="0" borderId="0" xfId="4" applyBorder="1" applyAlignment="1">
      <alignment horizontal="center" vertical="top"/>
    </xf>
    <xf numFmtId="166" fontId="20" fillId="2" borderId="0" xfId="0" applyNumberFormat="1" applyFont="1" applyFill="1" applyAlignment="1">
      <alignment horizontal="center" vertical="top"/>
    </xf>
    <xf numFmtId="166" fontId="20" fillId="0" borderId="0" xfId="0" applyNumberFormat="1" applyFont="1" applyAlignment="1">
      <alignment horizontal="center" vertical="top"/>
    </xf>
    <xf numFmtId="166" fontId="21" fillId="2" borderId="0" xfId="0" applyNumberFormat="1" applyFont="1" applyFill="1" applyAlignment="1">
      <alignment horizontal="center" vertical="top"/>
    </xf>
    <xf numFmtId="167" fontId="20" fillId="2" borderId="0" xfId="0" applyNumberFormat="1" applyFont="1" applyFill="1" applyAlignment="1">
      <alignment horizontal="center" vertical="top"/>
    </xf>
    <xf numFmtId="165" fontId="20" fillId="2" borderId="0" xfId="0" applyNumberFormat="1" applyFont="1" applyFill="1" applyAlignment="1">
      <alignment horizontal="center" vertical="top"/>
    </xf>
    <xf numFmtId="0" fontId="5" fillId="0" borderId="1" xfId="0" applyFont="1" applyBorder="1" applyAlignment="1">
      <alignment horizontal="left" vertical="center" wrapText="1" indent="1"/>
    </xf>
    <xf numFmtId="44" fontId="5" fillId="0" borderId="1" xfId="1" applyFont="1" applyFill="1" applyBorder="1" applyAlignment="1">
      <alignment horizontal="left" vertical="center" indent="1"/>
    </xf>
    <xf numFmtId="0" fontId="14" fillId="5" borderId="29" xfId="0" applyFont="1" applyFill="1" applyBorder="1" applyAlignment="1">
      <alignment horizontal="left" vertical="center" wrapText="1" indent="1"/>
    </xf>
    <xf numFmtId="0" fontId="5" fillId="0" borderId="42" xfId="0" applyFont="1" applyBorder="1" applyAlignment="1">
      <alignment horizontal="left" vertical="center" wrapText="1" indent="1"/>
    </xf>
    <xf numFmtId="0" fontId="5" fillId="0" borderId="45" xfId="0" applyFont="1" applyBorder="1" applyAlignment="1">
      <alignment horizontal="left" vertical="center" wrapText="1" indent="1"/>
    </xf>
    <xf numFmtId="0" fontId="5" fillId="8" borderId="51" xfId="0" applyFont="1" applyFill="1" applyBorder="1" applyAlignment="1">
      <alignment horizontal="left" vertical="center" wrapText="1" indent="1"/>
    </xf>
    <xf numFmtId="49" fontId="5" fillId="0" borderId="1" xfId="1" applyNumberFormat="1" applyFont="1" applyFill="1" applyBorder="1" applyAlignment="1">
      <alignment horizontal="left" vertical="center" wrapText="1" indent="1"/>
    </xf>
    <xf numFmtId="0" fontId="5" fillId="9" borderId="51" xfId="0" applyFont="1" applyFill="1" applyBorder="1" applyAlignment="1">
      <alignment horizontal="left" vertical="center" wrapText="1" indent="1"/>
    </xf>
    <xf numFmtId="0" fontId="5" fillId="0" borderId="0" xfId="0" applyFont="1" applyAlignment="1">
      <alignment horizontal="right"/>
    </xf>
    <xf numFmtId="0" fontId="5" fillId="0" borderId="60" xfId="0" applyFont="1" applyBorder="1" applyAlignment="1">
      <alignment horizontal="left" vertical="center" wrapText="1" indent="1"/>
    </xf>
    <xf numFmtId="0" fontId="5" fillId="0" borderId="12" xfId="0" applyFont="1" applyBorder="1" applyAlignment="1">
      <alignment horizontal="left" vertical="center" wrapText="1" indent="1"/>
    </xf>
    <xf numFmtId="44" fontId="5" fillId="0" borderId="12" xfId="1" applyFont="1" applyFill="1" applyBorder="1" applyAlignment="1">
      <alignment horizontal="left" vertical="center" indent="1"/>
    </xf>
    <xf numFmtId="0" fontId="5" fillId="7" borderId="51" xfId="0" applyFont="1" applyFill="1" applyBorder="1" applyAlignment="1">
      <alignment horizontal="left" vertical="center" wrapText="1" indent="1"/>
    </xf>
    <xf numFmtId="0" fontId="5" fillId="6" borderId="51" xfId="0" applyFont="1" applyFill="1" applyBorder="1" applyAlignment="1">
      <alignment horizontal="left" vertical="center" wrapText="1" indent="1"/>
    </xf>
    <xf numFmtId="0" fontId="5" fillId="0" borderId="90" xfId="0" applyFont="1" applyBorder="1" applyAlignment="1">
      <alignment horizontal="left" vertical="center" wrapText="1" indent="1"/>
    </xf>
    <xf numFmtId="0" fontId="24" fillId="10" borderId="51" xfId="0" applyFont="1" applyFill="1" applyBorder="1" applyAlignment="1">
      <alignment horizontal="left" vertical="center" wrapText="1" indent="1"/>
    </xf>
    <xf numFmtId="0" fontId="5" fillId="11" borderId="61" xfId="0" applyFont="1" applyFill="1" applyBorder="1" applyAlignment="1">
      <alignment horizontal="left" vertical="center" wrapText="1" indent="1"/>
    </xf>
    <xf numFmtId="0" fontId="5" fillId="11" borderId="51" xfId="0" applyFont="1" applyFill="1" applyBorder="1" applyAlignment="1">
      <alignment horizontal="left" vertical="center" wrapText="1" indent="1"/>
    </xf>
    <xf numFmtId="0" fontId="5" fillId="12" borderId="51" xfId="0" applyFont="1" applyFill="1" applyBorder="1" applyAlignment="1">
      <alignment horizontal="left" vertical="center" wrapText="1" indent="1"/>
    </xf>
    <xf numFmtId="0" fontId="5" fillId="0" borderId="0" xfId="0" applyFont="1" applyAlignment="1">
      <alignment horizontal="left" vertical="center" wrapText="1"/>
    </xf>
    <xf numFmtId="0" fontId="25" fillId="0" borderId="0" xfId="0" applyFont="1"/>
    <xf numFmtId="0" fontId="25" fillId="0" borderId="0" xfId="0" quotePrefix="1" applyFont="1" applyAlignment="1" applyProtection="1">
      <alignment horizontal="right" vertical="top" wrapText="1"/>
      <protection locked="0"/>
    </xf>
    <xf numFmtId="0" fontId="25" fillId="0" borderId="13" xfId="2" applyFont="1" applyBorder="1" applyAlignment="1">
      <alignment horizontal="left" vertical="top" wrapText="1"/>
    </xf>
    <xf numFmtId="0" fontId="25" fillId="0" borderId="15" xfId="2" applyFont="1" applyBorder="1" applyAlignment="1">
      <alignment horizontal="left" vertical="top" wrapText="1"/>
    </xf>
    <xf numFmtId="0" fontId="25" fillId="0" borderId="0" xfId="0" applyFont="1" applyAlignment="1">
      <alignment horizontal="right" vertical="top" wrapText="1"/>
    </xf>
    <xf numFmtId="0" fontId="25" fillId="2" borderId="1" xfId="0" applyFont="1" applyFill="1" applyBorder="1" applyAlignment="1" applyProtection="1">
      <alignment horizontal="left" vertical="top" wrapText="1"/>
      <protection locked="0"/>
    </xf>
    <xf numFmtId="0" fontId="25" fillId="0" borderId="13" xfId="2" applyFont="1" applyBorder="1" applyAlignment="1">
      <alignment vertical="top" wrapText="1"/>
    </xf>
    <xf numFmtId="0" fontId="25" fillId="0" borderId="15" xfId="2" applyFont="1" applyBorder="1" applyAlignment="1">
      <alignment vertical="top" wrapText="1"/>
    </xf>
    <xf numFmtId="0" fontId="25" fillId="2" borderId="14" xfId="2" applyFont="1" applyFill="1" applyBorder="1" applyAlignment="1">
      <alignment horizontal="left" vertical="top" wrapText="1"/>
    </xf>
    <xf numFmtId="0" fontId="25" fillId="2" borderId="65" xfId="2" applyFont="1" applyFill="1" applyBorder="1" applyAlignment="1">
      <alignment horizontal="left" vertical="top" wrapText="1"/>
    </xf>
    <xf numFmtId="0" fontId="26" fillId="0" borderId="0" xfId="0" applyFont="1" applyAlignment="1">
      <alignment horizontal="left" vertical="center" wrapText="1"/>
    </xf>
    <xf numFmtId="0" fontId="26" fillId="3" borderId="1" xfId="0" applyFont="1" applyFill="1" applyBorder="1" applyAlignment="1">
      <alignment horizontal="left" vertical="center" wrapText="1"/>
    </xf>
    <xf numFmtId="0" fontId="26" fillId="3" borderId="64" xfId="0" applyFont="1" applyFill="1" applyBorder="1" applyAlignment="1">
      <alignment horizontal="left" vertical="center" wrapText="1"/>
    </xf>
    <xf numFmtId="164" fontId="27" fillId="0" borderId="0" xfId="0" applyNumberFormat="1" applyFont="1" applyAlignment="1">
      <alignment vertical="center" wrapText="1"/>
    </xf>
    <xf numFmtId="0" fontId="25" fillId="0" borderId="74" xfId="0" quotePrefix="1" applyFont="1" applyBorder="1" applyAlignment="1" applyProtection="1">
      <alignment horizontal="right" vertical="top" wrapText="1"/>
      <protection locked="0"/>
    </xf>
    <xf numFmtId="0" fontId="25" fillId="0" borderId="74" xfId="0" applyFont="1" applyBorder="1" applyAlignment="1">
      <alignment horizontal="right" vertical="top" wrapText="1"/>
    </xf>
    <xf numFmtId="0" fontId="25" fillId="0" borderId="65" xfId="2" applyFont="1" applyBorder="1" applyAlignment="1">
      <alignment horizontal="left" vertical="top" wrapText="1"/>
    </xf>
    <xf numFmtId="0" fontId="26" fillId="0" borderId="74" xfId="0" applyFont="1" applyBorder="1" applyAlignment="1">
      <alignment horizontal="left" vertical="center" wrapText="1"/>
    </xf>
    <xf numFmtId="0" fontId="26" fillId="3" borderId="13" xfId="0" applyFont="1" applyFill="1" applyBorder="1" applyAlignment="1">
      <alignment horizontal="left" vertical="center" wrapText="1"/>
    </xf>
    <xf numFmtId="0" fontId="26" fillId="3" borderId="15" xfId="0" applyFont="1" applyFill="1" applyBorder="1" applyAlignment="1">
      <alignment horizontal="left" vertical="center" wrapText="1"/>
    </xf>
    <xf numFmtId="0" fontId="25" fillId="0" borderId="0" xfId="1" applyNumberFormat="1" applyFont="1" applyFill="1" applyBorder="1" applyAlignment="1" applyProtection="1">
      <alignment horizontal="left" vertical="top" wrapText="1"/>
    </xf>
    <xf numFmtId="0" fontId="26" fillId="0" borderId="0" xfId="0" applyFont="1" applyAlignment="1">
      <alignment horizontal="left" vertical="top" wrapText="1"/>
    </xf>
    <xf numFmtId="0" fontId="25" fillId="0" borderId="74" xfId="1" applyNumberFormat="1" applyFont="1" applyFill="1" applyBorder="1" applyAlignment="1" applyProtection="1">
      <alignment horizontal="left" vertical="top" wrapText="1"/>
    </xf>
    <xf numFmtId="0" fontId="26" fillId="0" borderId="65" xfId="0" applyFont="1" applyBorder="1" applyAlignment="1">
      <alignment horizontal="left" vertical="top" wrapText="1"/>
    </xf>
    <xf numFmtId="0" fontId="25" fillId="0" borderId="74" xfId="0" applyFont="1" applyBorder="1" applyAlignment="1">
      <alignment horizontal="left" vertical="top" wrapText="1"/>
    </xf>
    <xf numFmtId="0" fontId="26" fillId="0" borderId="56" xfId="0" applyFont="1" applyBorder="1" applyAlignment="1">
      <alignment horizontal="left" vertical="top" wrapText="1"/>
    </xf>
    <xf numFmtId="0" fontId="26" fillId="0" borderId="74" xfId="0" applyFont="1" applyBorder="1" applyAlignment="1">
      <alignment vertical="center" wrapText="1"/>
    </xf>
    <xf numFmtId="0" fontId="26" fillId="3" borderId="7" xfId="0" applyFont="1" applyFill="1" applyBorder="1" applyAlignment="1">
      <alignment horizontal="left" vertical="center" wrapText="1"/>
    </xf>
    <xf numFmtId="0" fontId="26" fillId="3" borderId="6" xfId="0" applyFont="1" applyFill="1" applyBorder="1" applyAlignment="1">
      <alignment horizontal="left" vertical="center" wrapText="1"/>
    </xf>
    <xf numFmtId="0" fontId="26" fillId="3" borderId="29" xfId="0" applyFont="1" applyFill="1" applyBorder="1" applyAlignment="1">
      <alignment horizontal="left" vertical="center" wrapText="1"/>
    </xf>
    <xf numFmtId="164" fontId="27" fillId="0" borderId="0" xfId="0" applyNumberFormat="1" applyFont="1" applyAlignment="1">
      <alignment vertical="center"/>
    </xf>
    <xf numFmtId="0" fontId="25" fillId="0" borderId="0" xfId="0" applyFont="1" applyAlignment="1">
      <alignment horizontal="right" wrapText="1"/>
    </xf>
    <xf numFmtId="0" fontId="25" fillId="0" borderId="0" xfId="0" applyFont="1" applyAlignment="1">
      <alignment wrapText="1"/>
    </xf>
    <xf numFmtId="0" fontId="26" fillId="0" borderId="47" xfId="0" applyFont="1" applyBorder="1" applyAlignment="1">
      <alignment horizontal="left" vertical="top" wrapText="1"/>
    </xf>
    <xf numFmtId="0" fontId="26" fillId="0" borderId="45" xfId="0" applyFont="1" applyBorder="1" applyAlignment="1">
      <alignment horizontal="left" vertical="top" wrapText="1"/>
    </xf>
    <xf numFmtId="0" fontId="26" fillId="0" borderId="46" xfId="0" applyFont="1" applyBorder="1" applyAlignment="1">
      <alignment horizontal="left" vertical="top" wrapText="1"/>
    </xf>
    <xf numFmtId="0" fontId="26" fillId="0" borderId="43" xfId="0" applyFont="1" applyBorder="1" applyAlignment="1">
      <alignment horizontal="left" vertical="top" wrapText="1"/>
    </xf>
    <xf numFmtId="0" fontId="26" fillId="0" borderId="0" xfId="0" applyFont="1" applyAlignment="1">
      <alignment vertical="center" wrapText="1"/>
    </xf>
    <xf numFmtId="0" fontId="26" fillId="3" borderId="37" xfId="0" applyFont="1" applyFill="1" applyBorder="1" applyAlignment="1">
      <alignment vertical="center" wrapText="1"/>
    </xf>
    <xf numFmtId="0" fontId="26" fillId="3" borderId="33" xfId="0" applyFont="1" applyFill="1" applyBorder="1" applyAlignment="1">
      <alignment vertical="center" wrapText="1"/>
    </xf>
    <xf numFmtId="0" fontId="26" fillId="3" borderId="32" xfId="0" applyFont="1" applyFill="1" applyBorder="1" applyAlignment="1">
      <alignment vertical="center" wrapText="1"/>
    </xf>
    <xf numFmtId="0" fontId="26" fillId="3" borderId="42" xfId="0" applyFont="1" applyFill="1" applyBorder="1" applyAlignment="1">
      <alignment horizontal="left" vertical="center" wrapText="1"/>
    </xf>
    <xf numFmtId="0" fontId="0" fillId="0" borderId="94" xfId="0" applyBorder="1"/>
    <xf numFmtId="0" fontId="29" fillId="0" borderId="0" xfId="0" applyFont="1"/>
    <xf numFmtId="49" fontId="26" fillId="0" borderId="0" xfId="0" applyNumberFormat="1" applyFont="1" applyAlignment="1">
      <alignment vertical="top"/>
    </xf>
    <xf numFmtId="0" fontId="5" fillId="16" borderId="51" xfId="0" applyFont="1" applyFill="1" applyBorder="1" applyAlignment="1">
      <alignment horizontal="left" vertical="center" wrapText="1" indent="1"/>
    </xf>
    <xf numFmtId="164" fontId="26" fillId="2" borderId="0" xfId="0" applyNumberFormat="1" applyFont="1" applyFill="1" applyAlignment="1">
      <alignment vertical="center" wrapText="1"/>
    </xf>
    <xf numFmtId="0" fontId="5" fillId="0" borderId="2" xfId="0" applyFont="1" applyBorder="1" applyAlignment="1">
      <alignment horizontal="left" vertical="top" wrapText="1"/>
    </xf>
    <xf numFmtId="0" fontId="5" fillId="0" borderId="21" xfId="0" applyFont="1" applyBorder="1" applyAlignment="1">
      <alignment horizontal="left" vertical="top" wrapText="1"/>
    </xf>
    <xf numFmtId="0" fontId="5" fillId="0" borderId="27" xfId="0" applyFont="1" applyBorder="1" applyAlignment="1">
      <alignment horizontal="left" vertical="top" wrapText="1"/>
    </xf>
    <xf numFmtId="0" fontId="5" fillId="0" borderId="30" xfId="0" applyFont="1" applyBorder="1" applyAlignment="1">
      <alignment horizontal="left" vertical="top" wrapText="1"/>
    </xf>
    <xf numFmtId="0" fontId="5" fillId="0" borderId="28" xfId="0" applyFont="1" applyBorder="1" applyAlignment="1">
      <alignment horizontal="left" vertical="top" wrapText="1"/>
    </xf>
    <xf numFmtId="0" fontId="5" fillId="0" borderId="31" xfId="0" applyFont="1" applyBorder="1" applyAlignment="1">
      <alignment horizontal="left" vertical="top" wrapText="1"/>
    </xf>
    <xf numFmtId="0" fontId="6" fillId="0" borderId="89" xfId="0" applyFont="1" applyBorder="1" applyAlignment="1">
      <alignment horizontal="left" vertical="top" wrapText="1"/>
    </xf>
    <xf numFmtId="0" fontId="6" fillId="0" borderId="44" xfId="0" applyFont="1" applyBorder="1" applyAlignment="1">
      <alignment horizontal="left" vertical="top" wrapText="1"/>
    </xf>
    <xf numFmtId="0" fontId="5" fillId="0" borderId="0" xfId="0" quotePrefix="1" applyFont="1" applyAlignment="1">
      <alignment horizontal="right" vertical="top" wrapText="1"/>
    </xf>
    <xf numFmtId="2" fontId="5" fillId="0" borderId="10" xfId="0" applyNumberFormat="1" applyFont="1" applyBorder="1" applyAlignment="1">
      <alignment horizontal="center" vertical="top"/>
    </xf>
    <xf numFmtId="0" fontId="5" fillId="2" borderId="1" xfId="0" applyFont="1" applyFill="1" applyBorder="1" applyAlignment="1">
      <alignment horizontal="left" vertical="top" wrapText="1"/>
    </xf>
    <xf numFmtId="0" fontId="6" fillId="0" borderId="1" xfId="0" applyFont="1" applyBorder="1" applyAlignment="1">
      <alignment horizontal="left" vertical="top" wrapText="1"/>
    </xf>
    <xf numFmtId="0" fontId="6" fillId="0" borderId="11" xfId="0" applyFont="1" applyBorder="1" applyAlignment="1">
      <alignment horizontal="left" vertical="top" wrapText="1"/>
    </xf>
    <xf numFmtId="0" fontId="5" fillId="0" borderId="4" xfId="0" applyFont="1" applyBorder="1" applyAlignment="1">
      <alignment horizontal="left" vertical="top" wrapText="1"/>
    </xf>
    <xf numFmtId="0" fontId="5" fillId="0" borderId="98" xfId="0" applyFont="1" applyBorder="1" applyAlignment="1">
      <alignment horizontal="left" vertical="top" wrapText="1"/>
    </xf>
    <xf numFmtId="0" fontId="6" fillId="0" borderId="20" xfId="0" applyFont="1" applyBorder="1" applyAlignment="1">
      <alignment horizontal="left" vertical="top" wrapText="1"/>
    </xf>
    <xf numFmtId="0" fontId="5" fillId="0" borderId="39" xfId="0" applyFont="1" applyBorder="1" applyAlignment="1">
      <alignment horizontal="left" vertical="top" wrapText="1"/>
    </xf>
    <xf numFmtId="0" fontId="5" fillId="0" borderId="40" xfId="0" applyFont="1" applyBorder="1" applyAlignment="1">
      <alignment horizontal="left" vertical="top" wrapText="1"/>
    </xf>
    <xf numFmtId="0" fontId="5" fillId="0" borderId="48" xfId="0" applyFont="1" applyBorder="1" applyAlignment="1">
      <alignment horizontal="left" vertical="top" wrapText="1"/>
    </xf>
    <xf numFmtId="0" fontId="6" fillId="0" borderId="74" xfId="0" applyFont="1" applyBorder="1" applyAlignment="1">
      <alignment vertical="center" wrapText="1"/>
    </xf>
    <xf numFmtId="0" fontId="5" fillId="0" borderId="94" xfId="0" applyFont="1" applyBorder="1" applyAlignment="1">
      <alignment horizontal="left" vertical="top" wrapText="1"/>
    </xf>
    <xf numFmtId="0" fontId="5" fillId="0" borderId="0" xfId="0" applyFont="1" applyAlignment="1">
      <alignment vertical="top" wrapText="1"/>
    </xf>
    <xf numFmtId="0" fontId="5" fillId="0" borderId="74" xfId="0" applyFont="1" applyBorder="1" applyAlignment="1">
      <alignment horizontal="right" vertical="top" wrapText="1"/>
    </xf>
    <xf numFmtId="0" fontId="5" fillId="2" borderId="50" xfId="0" applyFont="1" applyFill="1" applyBorder="1" applyAlignment="1" applyProtection="1">
      <alignment horizontal="left" vertical="top" wrapText="1"/>
      <protection locked="0"/>
    </xf>
    <xf numFmtId="0" fontId="5" fillId="0" borderId="74" xfId="0" applyFont="1" applyBorder="1" applyAlignment="1">
      <alignment horizontal="left" vertical="top" wrapText="1"/>
    </xf>
    <xf numFmtId="0" fontId="5" fillId="0" borderId="85" xfId="0" applyFont="1" applyBorder="1" applyAlignment="1">
      <alignment horizontal="left" vertical="top" wrapText="1"/>
    </xf>
    <xf numFmtId="0" fontId="5" fillId="0" borderId="41" xfId="0" applyFont="1" applyBorder="1" applyAlignment="1">
      <alignment horizontal="left" vertical="top" wrapText="1"/>
    </xf>
    <xf numFmtId="2" fontId="20" fillId="0" borderId="0" xfId="3" applyNumberFormat="1" applyFont="1" applyBorder="1" applyAlignment="1">
      <alignment horizontal="center" vertical="top" wrapText="1"/>
    </xf>
    <xf numFmtId="0" fontId="20" fillId="0" borderId="0" xfId="3" applyFont="1" applyBorder="1" applyAlignment="1">
      <alignment horizontal="center" vertical="top" wrapText="1"/>
    </xf>
    <xf numFmtId="165" fontId="20" fillId="0" borderId="0" xfId="3" applyNumberFormat="1" applyFont="1" applyBorder="1" applyAlignment="1">
      <alignment horizontal="center" vertical="top" wrapText="1"/>
    </xf>
    <xf numFmtId="49" fontId="5" fillId="0" borderId="12" xfId="1" applyNumberFormat="1" applyFont="1" applyFill="1" applyBorder="1" applyAlignment="1">
      <alignment horizontal="left" vertical="center" wrapText="1" indent="1"/>
    </xf>
    <xf numFmtId="49" fontId="6" fillId="0" borderId="0" xfId="0" applyNumberFormat="1" applyFont="1" applyAlignment="1" applyProtection="1">
      <alignment horizontal="left" vertical="top"/>
      <protection hidden="1"/>
    </xf>
    <xf numFmtId="0" fontId="5" fillId="4" borderId="93" xfId="0" applyFont="1" applyFill="1" applyBorder="1" applyAlignment="1" applyProtection="1">
      <alignment horizontal="center" vertical="center" wrapText="1"/>
      <protection hidden="1"/>
    </xf>
    <xf numFmtId="0" fontId="5" fillId="4" borderId="73" xfId="0" applyFont="1" applyFill="1" applyBorder="1" applyAlignment="1" applyProtection="1">
      <alignment horizontal="left" vertical="top" wrapText="1"/>
      <protection hidden="1"/>
    </xf>
    <xf numFmtId="0" fontId="5" fillId="4" borderId="100" xfId="0" applyFont="1" applyFill="1" applyBorder="1" applyAlignment="1" applyProtection="1">
      <alignment horizontal="left" vertical="top" wrapText="1"/>
      <protection hidden="1"/>
    </xf>
    <xf numFmtId="0" fontId="5" fillId="4" borderId="71" xfId="0" applyFont="1" applyFill="1" applyBorder="1" applyAlignment="1" applyProtection="1">
      <alignment horizontal="left" vertical="top" wrapText="1"/>
      <protection hidden="1"/>
    </xf>
    <xf numFmtId="0" fontId="5" fillId="4" borderId="75" xfId="0" applyFont="1" applyFill="1" applyBorder="1" applyAlignment="1" applyProtection="1">
      <alignment horizontal="left" vertical="top" wrapText="1"/>
      <protection hidden="1"/>
    </xf>
    <xf numFmtId="0" fontId="5" fillId="4" borderId="74" xfId="0" applyFont="1" applyFill="1" applyBorder="1" applyAlignment="1" applyProtection="1">
      <alignment horizontal="left" vertical="top" wrapText="1"/>
      <protection hidden="1"/>
    </xf>
    <xf numFmtId="0" fontId="5" fillId="4" borderId="76" xfId="0" applyFont="1" applyFill="1" applyBorder="1" applyAlignment="1" applyProtection="1">
      <alignment horizontal="left" vertical="top" wrapText="1"/>
      <protection hidden="1"/>
    </xf>
    <xf numFmtId="164" fontId="5" fillId="4" borderId="71" xfId="0" applyNumberFormat="1" applyFont="1" applyFill="1" applyBorder="1" applyAlignment="1" applyProtection="1">
      <alignment horizontal="left" vertical="top" wrapText="1"/>
      <protection hidden="1"/>
    </xf>
    <xf numFmtId="0" fontId="5" fillId="4" borderId="8" xfId="0" applyFont="1" applyFill="1" applyBorder="1" applyAlignment="1" applyProtection="1">
      <alignment horizontal="left" vertical="top" wrapText="1"/>
      <protection hidden="1"/>
    </xf>
    <xf numFmtId="0" fontId="5" fillId="0" borderId="0" xfId="0" applyFont="1" applyAlignment="1" applyProtection="1">
      <alignment horizontal="right" wrapText="1"/>
      <protection hidden="1"/>
    </xf>
    <xf numFmtId="164" fontId="8" fillId="3" borderId="77" xfId="0" applyNumberFormat="1" applyFont="1" applyFill="1" applyBorder="1" applyAlignment="1" applyProtection="1">
      <alignment horizontal="center" vertical="center"/>
      <protection hidden="1"/>
    </xf>
    <xf numFmtId="164" fontId="6" fillId="3" borderId="59" xfId="0" applyNumberFormat="1" applyFont="1" applyFill="1" applyBorder="1" applyAlignment="1" applyProtection="1">
      <alignment horizontal="center" vertical="center" wrapText="1"/>
      <protection hidden="1"/>
    </xf>
    <xf numFmtId="164" fontId="6" fillId="4" borderId="36" xfId="0" applyNumberFormat="1" applyFont="1" applyFill="1" applyBorder="1" applyAlignment="1" applyProtection="1">
      <alignment horizontal="right" vertical="top" wrapText="1"/>
      <protection hidden="1"/>
    </xf>
    <xf numFmtId="2" fontId="6" fillId="4" borderId="59" xfId="0" applyNumberFormat="1" applyFont="1" applyFill="1" applyBorder="1" applyAlignment="1" applyProtection="1">
      <alignment horizontal="right" vertical="top" wrapText="1"/>
      <protection hidden="1"/>
    </xf>
    <xf numFmtId="164" fontId="6" fillId="2" borderId="0" xfId="1" applyNumberFormat="1" applyFont="1" applyFill="1" applyBorder="1" applyAlignment="1" applyProtection="1">
      <alignment horizontal="right" vertical="top"/>
      <protection hidden="1"/>
    </xf>
    <xf numFmtId="164" fontId="8" fillId="3" borderId="36" xfId="0" applyNumberFormat="1" applyFont="1" applyFill="1" applyBorder="1" applyAlignment="1" applyProtection="1">
      <alignment horizontal="center" vertical="center"/>
      <protection hidden="1"/>
    </xf>
    <xf numFmtId="164" fontId="6" fillId="3" borderId="8" xfId="0" applyNumberFormat="1" applyFont="1" applyFill="1" applyBorder="1" applyAlignment="1" applyProtection="1">
      <alignment horizontal="center" vertical="center" wrapText="1"/>
      <protection hidden="1"/>
    </xf>
    <xf numFmtId="0" fontId="5" fillId="4" borderId="70" xfId="0" applyFont="1" applyFill="1" applyBorder="1" applyAlignment="1" applyProtection="1">
      <alignment horizontal="left" vertical="top" wrapText="1"/>
      <protection hidden="1"/>
    </xf>
    <xf numFmtId="0" fontId="5" fillId="4" borderId="36" xfId="0" applyFont="1" applyFill="1" applyBorder="1" applyAlignment="1" applyProtection="1">
      <alignment horizontal="left" vertical="top" wrapText="1"/>
      <protection hidden="1"/>
    </xf>
    <xf numFmtId="0" fontId="5" fillId="4" borderId="72" xfId="0" applyFont="1" applyFill="1" applyBorder="1" applyAlignment="1" applyProtection="1">
      <alignment horizontal="left" vertical="top" wrapText="1"/>
      <protection hidden="1"/>
    </xf>
    <xf numFmtId="0" fontId="5" fillId="4" borderId="77" xfId="0" applyFont="1" applyFill="1" applyBorder="1" applyAlignment="1" applyProtection="1">
      <alignment horizontal="left" vertical="top" wrapText="1"/>
      <protection hidden="1"/>
    </xf>
    <xf numFmtId="0" fontId="5" fillId="0" borderId="0" xfId="0" applyFont="1" applyAlignment="1" applyProtection="1">
      <alignment horizontal="right"/>
      <protection hidden="1"/>
    </xf>
    <xf numFmtId="164" fontId="6" fillId="3" borderId="36" xfId="0" applyNumberFormat="1" applyFont="1" applyFill="1" applyBorder="1" applyAlignment="1" applyProtection="1">
      <alignment horizontal="center" vertical="center" wrapText="1"/>
      <protection hidden="1"/>
    </xf>
    <xf numFmtId="164" fontId="5" fillId="4" borderId="72" xfId="0" applyNumberFormat="1" applyFont="1" applyFill="1" applyBorder="1" applyAlignment="1" applyProtection="1">
      <alignment horizontal="right" vertical="top" wrapText="1"/>
      <protection hidden="1"/>
    </xf>
    <xf numFmtId="164" fontId="5" fillId="4" borderId="71" xfId="0" applyNumberFormat="1" applyFont="1" applyFill="1" applyBorder="1" applyAlignment="1" applyProtection="1">
      <alignment horizontal="right" vertical="top" wrapText="1"/>
      <protection hidden="1"/>
    </xf>
    <xf numFmtId="164" fontId="5" fillId="4" borderId="59" xfId="0" applyNumberFormat="1" applyFont="1" applyFill="1" applyBorder="1" applyAlignment="1" applyProtection="1">
      <alignment horizontal="right" vertical="top" wrapText="1"/>
      <protection hidden="1"/>
    </xf>
    <xf numFmtId="0" fontId="5" fillId="4" borderId="73" xfId="0" applyFont="1" applyFill="1" applyBorder="1" applyAlignment="1" applyProtection="1">
      <alignment horizontal="center" vertical="center" wrapText="1"/>
      <protection hidden="1"/>
    </xf>
    <xf numFmtId="164" fontId="5" fillId="4" borderId="36" xfId="0" applyNumberFormat="1" applyFont="1" applyFill="1" applyBorder="1" applyAlignment="1" applyProtection="1">
      <alignment horizontal="right" vertical="top" wrapText="1"/>
      <protection hidden="1"/>
    </xf>
    <xf numFmtId="164" fontId="5" fillId="4" borderId="8" xfId="0" applyNumberFormat="1" applyFont="1" applyFill="1" applyBorder="1" applyAlignment="1" applyProtection="1">
      <alignment horizontal="right" vertical="top" wrapText="1"/>
      <protection hidden="1"/>
    </xf>
    <xf numFmtId="164" fontId="5" fillId="4" borderId="77" xfId="0" applyNumberFormat="1" applyFont="1" applyFill="1" applyBorder="1" applyAlignment="1" applyProtection="1">
      <alignment horizontal="right" vertical="top" wrapText="1"/>
      <protection hidden="1"/>
    </xf>
    <xf numFmtId="164" fontId="8" fillId="3" borderId="36" xfId="0" applyNumberFormat="1" applyFont="1" applyFill="1" applyBorder="1" applyAlignment="1" applyProtection="1">
      <alignment horizontal="center" vertical="center" wrapText="1"/>
      <protection hidden="1"/>
    </xf>
    <xf numFmtId="164" fontId="6" fillId="4" borderId="72" xfId="0" applyNumberFormat="1" applyFont="1" applyFill="1" applyBorder="1" applyAlignment="1" applyProtection="1">
      <alignment horizontal="right" vertical="top" wrapText="1"/>
      <protection hidden="1"/>
    </xf>
    <xf numFmtId="164" fontId="6" fillId="4" borderId="71" xfId="0" applyNumberFormat="1" applyFont="1" applyFill="1" applyBorder="1" applyAlignment="1" applyProtection="1">
      <alignment horizontal="right" vertical="top" wrapText="1"/>
      <protection hidden="1"/>
    </xf>
    <xf numFmtId="164" fontId="5" fillId="4" borderId="70" xfId="0" applyNumberFormat="1" applyFont="1" applyFill="1" applyBorder="1" applyAlignment="1" applyProtection="1">
      <alignment horizontal="right" vertical="top" wrapText="1"/>
      <protection hidden="1"/>
    </xf>
    <xf numFmtId="164" fontId="5" fillId="4" borderId="87" xfId="0" applyNumberFormat="1" applyFont="1" applyFill="1" applyBorder="1" applyAlignment="1" applyProtection="1">
      <alignment horizontal="right" vertical="top" wrapText="1"/>
      <protection hidden="1"/>
    </xf>
    <xf numFmtId="0" fontId="5" fillId="4" borderId="59" xfId="0" applyFont="1" applyFill="1" applyBorder="1" applyAlignment="1" applyProtection="1">
      <alignment horizontal="left" vertical="top" wrapText="1"/>
      <protection hidden="1"/>
    </xf>
    <xf numFmtId="164" fontId="8" fillId="0" borderId="0" xfId="0" applyNumberFormat="1" applyFont="1" applyAlignment="1" applyProtection="1">
      <alignment vertical="center"/>
      <protection hidden="1"/>
    </xf>
    <xf numFmtId="0" fontId="6" fillId="0" borderId="0" xfId="0" applyFont="1" applyAlignment="1" applyProtection="1">
      <alignment vertical="center" wrapText="1"/>
      <protection hidden="1"/>
    </xf>
    <xf numFmtId="0" fontId="5" fillId="0" borderId="0" xfId="0" applyFont="1" applyAlignment="1" applyProtection="1">
      <alignment horizontal="left" vertical="top" wrapText="1"/>
      <protection hidden="1"/>
    </xf>
    <xf numFmtId="0" fontId="5" fillId="0" borderId="0" xfId="1" applyNumberFormat="1" applyFont="1" applyFill="1" applyBorder="1" applyAlignment="1" applyProtection="1">
      <alignment horizontal="left" vertical="top" wrapText="1"/>
      <protection hidden="1"/>
    </xf>
    <xf numFmtId="164" fontId="8" fillId="0" borderId="0" xfId="0" applyNumberFormat="1" applyFont="1" applyAlignment="1" applyProtection="1">
      <alignment vertical="center" wrapText="1"/>
      <protection hidden="1"/>
    </xf>
    <xf numFmtId="0" fontId="6" fillId="0" borderId="0" xfId="0" applyFont="1" applyAlignment="1" applyProtection="1">
      <alignment horizontal="left" vertical="center" wrapText="1"/>
      <protection hidden="1"/>
    </xf>
    <xf numFmtId="0" fontId="5" fillId="0" borderId="0" xfId="0" applyFont="1" applyAlignment="1" applyProtection="1">
      <alignment horizontal="right" vertical="top" wrapText="1"/>
      <protection hidden="1"/>
    </xf>
    <xf numFmtId="0" fontId="5" fillId="0" borderId="0" xfId="0" quotePrefix="1" applyFont="1" applyAlignment="1" applyProtection="1">
      <alignment horizontal="right" vertical="top" wrapText="1"/>
      <protection hidden="1"/>
    </xf>
    <xf numFmtId="0" fontId="5" fillId="0" borderId="0" xfId="0" applyFont="1" applyProtection="1">
      <protection hidden="1"/>
    </xf>
    <xf numFmtId="0" fontId="13" fillId="0" borderId="0" xfId="0" applyFont="1" applyProtection="1">
      <protection hidden="1"/>
    </xf>
    <xf numFmtId="0" fontId="5" fillId="0" borderId="0" xfId="0" applyFont="1" applyAlignment="1" applyProtection="1">
      <alignment horizontal="left" vertical="center"/>
      <protection hidden="1"/>
    </xf>
    <xf numFmtId="0" fontId="5" fillId="13" borderId="0" xfId="0" applyFont="1" applyFill="1" applyAlignment="1" applyProtection="1">
      <alignment horizontal="right" wrapText="1"/>
      <protection hidden="1"/>
    </xf>
    <xf numFmtId="164" fontId="6" fillId="4" borderId="70" xfId="0" applyNumberFormat="1" applyFont="1" applyFill="1" applyBorder="1" applyAlignment="1" applyProtection="1">
      <alignment horizontal="right" vertical="top" wrapText="1"/>
      <protection hidden="1"/>
    </xf>
    <xf numFmtId="0" fontId="5" fillId="13" borderId="0" xfId="0" applyFont="1" applyFill="1" applyAlignment="1" applyProtection="1">
      <alignment horizontal="right"/>
      <protection hidden="1"/>
    </xf>
    <xf numFmtId="164" fontId="6" fillId="3" borderId="60" xfId="0" applyNumberFormat="1" applyFont="1" applyFill="1" applyBorder="1" applyAlignment="1" applyProtection="1">
      <alignment horizontal="center" vertical="center" wrapText="1"/>
      <protection hidden="1"/>
    </xf>
    <xf numFmtId="164" fontId="6" fillId="3" borderId="22" xfId="0" applyNumberFormat="1" applyFont="1" applyFill="1" applyBorder="1" applyAlignment="1" applyProtection="1">
      <alignment horizontal="center" vertical="center" wrapText="1"/>
      <protection hidden="1"/>
    </xf>
    <xf numFmtId="164" fontId="6" fillId="3" borderId="61" xfId="0" applyNumberFormat="1" applyFont="1" applyFill="1" applyBorder="1" applyAlignment="1" applyProtection="1">
      <alignment horizontal="center" vertical="center" wrapText="1"/>
      <protection hidden="1"/>
    </xf>
    <xf numFmtId="0" fontId="5" fillId="4" borderId="38" xfId="0" applyFont="1" applyFill="1" applyBorder="1" applyAlignment="1" applyProtection="1">
      <alignment horizontal="left" vertical="top" wrapText="1"/>
      <protection hidden="1"/>
    </xf>
    <xf numFmtId="0" fontId="5" fillId="4" borderId="39" xfId="0" applyFont="1" applyFill="1" applyBorder="1" applyAlignment="1" applyProtection="1">
      <alignment horizontal="left" vertical="top" wrapText="1"/>
      <protection hidden="1"/>
    </xf>
    <xf numFmtId="0" fontId="5" fillId="4" borderId="40" xfId="0" applyFont="1" applyFill="1" applyBorder="1" applyAlignment="1" applyProtection="1">
      <alignment horizontal="left" vertical="top" wrapText="1"/>
      <protection hidden="1"/>
    </xf>
    <xf numFmtId="164" fontId="5" fillId="4" borderId="39" xfId="0" applyNumberFormat="1" applyFont="1" applyFill="1" applyBorder="1" applyAlignment="1" applyProtection="1">
      <alignment horizontal="left" vertical="top" wrapText="1"/>
      <protection hidden="1"/>
    </xf>
    <xf numFmtId="0" fontId="5" fillId="4" borderId="86" xfId="0" applyFont="1" applyFill="1" applyBorder="1" applyAlignment="1" applyProtection="1">
      <alignment horizontal="left" vertical="top" wrapText="1"/>
      <protection hidden="1"/>
    </xf>
    <xf numFmtId="0" fontId="5" fillId="0" borderId="0" xfId="0" applyFont="1" applyAlignment="1" applyProtection="1">
      <alignment vertical="center"/>
      <protection hidden="1"/>
    </xf>
    <xf numFmtId="164" fontId="6" fillId="4" borderId="62" xfId="0" applyNumberFormat="1" applyFont="1" applyFill="1" applyBorder="1" applyAlignment="1" applyProtection="1">
      <alignment horizontal="right" vertical="top" wrapText="1"/>
      <protection hidden="1"/>
    </xf>
    <xf numFmtId="2" fontId="6" fillId="4" borderId="63" xfId="0" applyNumberFormat="1" applyFont="1" applyFill="1" applyBorder="1" applyAlignment="1" applyProtection="1">
      <alignment horizontal="right" vertical="top" wrapText="1"/>
      <protection hidden="1"/>
    </xf>
    <xf numFmtId="0" fontId="5" fillId="4" borderId="62" xfId="0" applyFont="1" applyFill="1" applyBorder="1" applyAlignment="1" applyProtection="1">
      <alignment horizontal="left" vertical="top" wrapText="1"/>
      <protection hidden="1"/>
    </xf>
    <xf numFmtId="0" fontId="5" fillId="4" borderId="9" xfId="0" applyFont="1" applyFill="1" applyBorder="1" applyAlignment="1" applyProtection="1">
      <alignment horizontal="left" vertical="top" wrapText="1"/>
      <protection hidden="1"/>
    </xf>
    <xf numFmtId="0" fontId="5" fillId="4" borderId="7" xfId="0" applyFont="1" applyFill="1" applyBorder="1" applyAlignment="1" applyProtection="1">
      <alignment horizontal="left" vertical="top" wrapText="1"/>
      <protection hidden="1"/>
    </xf>
    <xf numFmtId="0" fontId="5" fillId="4" borderId="63" xfId="0" applyFont="1" applyFill="1" applyBorder="1" applyAlignment="1" applyProtection="1">
      <alignment horizontal="left" vertical="top" wrapText="1"/>
      <protection hidden="1"/>
    </xf>
    <xf numFmtId="0" fontId="5" fillId="4" borderId="41" xfId="0" applyFont="1" applyFill="1" applyBorder="1" applyAlignment="1" applyProtection="1">
      <alignment horizontal="left" vertical="top" wrapText="1"/>
      <protection hidden="1"/>
    </xf>
    <xf numFmtId="0" fontId="5" fillId="4" borderId="85" xfId="0" applyFont="1" applyFill="1" applyBorder="1" applyAlignment="1" applyProtection="1">
      <alignment horizontal="left" vertical="top" wrapText="1"/>
      <protection hidden="1"/>
    </xf>
    <xf numFmtId="0" fontId="5" fillId="4" borderId="84" xfId="0" applyFont="1" applyFill="1" applyBorder="1" applyAlignment="1" applyProtection="1">
      <alignment horizontal="left" vertical="top" wrapText="1"/>
      <protection hidden="1"/>
    </xf>
    <xf numFmtId="0" fontId="5" fillId="0" borderId="0" xfId="0" applyFont="1" applyAlignment="1" applyProtection="1">
      <alignment horizontal="left" vertical="center" wrapText="1"/>
      <protection hidden="1"/>
    </xf>
    <xf numFmtId="164" fontId="6" fillId="4" borderId="84" xfId="0" applyNumberFormat="1" applyFont="1" applyFill="1" applyBorder="1" applyAlignment="1" applyProtection="1">
      <alignment horizontal="right" vertical="top" wrapText="1"/>
      <protection hidden="1"/>
    </xf>
    <xf numFmtId="3" fontId="5" fillId="4" borderId="36" xfId="0" applyNumberFormat="1" applyFont="1" applyFill="1" applyBorder="1" applyAlignment="1" applyProtection="1">
      <alignment horizontal="left" vertical="top" wrapText="1"/>
      <protection hidden="1"/>
    </xf>
    <xf numFmtId="3" fontId="5" fillId="4" borderId="70" xfId="0" applyNumberFormat="1" applyFont="1" applyFill="1" applyBorder="1" applyAlignment="1" applyProtection="1">
      <alignment horizontal="left" vertical="top" wrapText="1"/>
      <protection hidden="1"/>
    </xf>
    <xf numFmtId="3" fontId="5" fillId="4" borderId="8" xfId="0" applyNumberFormat="1" applyFont="1" applyFill="1" applyBorder="1" applyAlignment="1" applyProtection="1">
      <alignment horizontal="left" vertical="top" wrapText="1"/>
      <protection hidden="1"/>
    </xf>
    <xf numFmtId="3" fontId="5" fillId="4" borderId="71" xfId="0" applyNumberFormat="1" applyFont="1" applyFill="1" applyBorder="1" applyAlignment="1" applyProtection="1">
      <alignment horizontal="left" vertical="top" wrapText="1"/>
      <protection hidden="1"/>
    </xf>
    <xf numFmtId="0" fontId="5" fillId="4" borderId="47" xfId="0" applyFont="1" applyFill="1" applyBorder="1" applyAlignment="1" applyProtection="1">
      <alignment horizontal="left" vertical="top" wrapText="1"/>
      <protection hidden="1"/>
    </xf>
    <xf numFmtId="0" fontId="5" fillId="4" borderId="20" xfId="0" applyFont="1" applyFill="1" applyBorder="1" applyAlignment="1" applyProtection="1">
      <alignment horizontal="left" vertical="top" wrapText="1"/>
      <protection hidden="1"/>
    </xf>
    <xf numFmtId="0" fontId="5" fillId="4" borderId="53" xfId="0" applyFont="1" applyFill="1" applyBorder="1" applyAlignment="1" applyProtection="1">
      <alignment horizontal="left" vertical="top" wrapText="1"/>
      <protection hidden="1"/>
    </xf>
    <xf numFmtId="0" fontId="5" fillId="4" borderId="43" xfId="0" applyFont="1" applyFill="1" applyBorder="1" applyAlignment="1" applyProtection="1">
      <alignment horizontal="left" vertical="top" wrapText="1"/>
      <protection hidden="1"/>
    </xf>
    <xf numFmtId="0" fontId="5" fillId="4" borderId="89" xfId="0" applyFont="1" applyFill="1" applyBorder="1" applyAlignment="1" applyProtection="1">
      <alignment horizontal="left" vertical="top" wrapText="1"/>
      <protection hidden="1"/>
    </xf>
    <xf numFmtId="0" fontId="5" fillId="4" borderId="49" xfId="0" applyFont="1" applyFill="1" applyBorder="1" applyAlignment="1" applyProtection="1">
      <alignment horizontal="left" vertical="top" wrapText="1"/>
      <protection hidden="1"/>
    </xf>
    <xf numFmtId="0" fontId="5" fillId="4" borderId="45" xfId="0" applyFont="1" applyFill="1" applyBorder="1" applyAlignment="1" applyProtection="1">
      <alignment horizontal="left" vertical="top" wrapText="1"/>
      <protection hidden="1"/>
    </xf>
    <xf numFmtId="0" fontId="5" fillId="4" borderId="1" xfId="0" applyFont="1" applyFill="1" applyBorder="1" applyAlignment="1" applyProtection="1">
      <alignment horizontal="left" vertical="top" wrapText="1"/>
      <protection hidden="1"/>
    </xf>
    <xf numFmtId="0" fontId="5" fillId="4" borderId="51" xfId="0" applyFont="1" applyFill="1" applyBorder="1" applyAlignment="1" applyProtection="1">
      <alignment horizontal="left" vertical="top" wrapText="1"/>
      <protection hidden="1"/>
    </xf>
    <xf numFmtId="0" fontId="5" fillId="4" borderId="46" xfId="0" applyFont="1" applyFill="1" applyBorder="1" applyAlignment="1" applyProtection="1">
      <alignment horizontal="left" vertical="top" wrapText="1"/>
      <protection hidden="1"/>
    </xf>
    <xf numFmtId="0" fontId="5" fillId="4" borderId="83" xfId="0" applyFont="1" applyFill="1" applyBorder="1" applyAlignment="1" applyProtection="1">
      <alignment horizontal="left" vertical="top" wrapText="1"/>
      <protection hidden="1"/>
    </xf>
    <xf numFmtId="0" fontId="5" fillId="4" borderId="52" xfId="0" applyFont="1" applyFill="1" applyBorder="1" applyAlignment="1" applyProtection="1">
      <alignment horizontal="left" vertical="top" wrapText="1"/>
      <protection hidden="1"/>
    </xf>
    <xf numFmtId="164" fontId="5" fillId="4" borderId="45" xfId="0" applyNumberFormat="1" applyFont="1" applyFill="1" applyBorder="1" applyAlignment="1" applyProtection="1">
      <alignment horizontal="left" vertical="top" wrapText="1"/>
      <protection hidden="1"/>
    </xf>
    <xf numFmtId="164" fontId="5" fillId="4" borderId="1" xfId="0" applyNumberFormat="1" applyFont="1" applyFill="1" applyBorder="1" applyAlignment="1" applyProtection="1">
      <alignment horizontal="left" vertical="top" wrapText="1"/>
      <protection hidden="1"/>
    </xf>
    <xf numFmtId="164" fontId="5" fillId="4" borderId="51" xfId="0" applyNumberFormat="1" applyFont="1" applyFill="1" applyBorder="1" applyAlignment="1" applyProtection="1">
      <alignment horizontal="left" vertical="top" wrapText="1"/>
      <protection hidden="1"/>
    </xf>
    <xf numFmtId="164" fontId="6" fillId="4" borderId="56" xfId="0" applyNumberFormat="1" applyFont="1" applyFill="1" applyBorder="1" applyAlignment="1" applyProtection="1">
      <alignment horizontal="right" vertical="top" wrapText="1"/>
      <protection hidden="1"/>
    </xf>
    <xf numFmtId="164" fontId="6" fillId="4" borderId="3" xfId="0" applyNumberFormat="1" applyFont="1" applyFill="1" applyBorder="1" applyAlignment="1" applyProtection="1">
      <alignment horizontal="right" vertical="top" wrapText="1"/>
      <protection hidden="1"/>
    </xf>
    <xf numFmtId="164" fontId="6" fillId="4" borderId="55" xfId="0" applyNumberFormat="1" applyFont="1" applyFill="1" applyBorder="1" applyAlignment="1" applyProtection="1">
      <alignment horizontal="right" vertical="top" wrapText="1"/>
      <protection hidden="1"/>
    </xf>
    <xf numFmtId="2" fontId="6" fillId="4" borderId="60" xfId="0" applyNumberFormat="1" applyFont="1" applyFill="1" applyBorder="1" applyAlignment="1" applyProtection="1">
      <alignment horizontal="right" vertical="top" wrapText="1"/>
      <protection hidden="1"/>
    </xf>
    <xf numFmtId="2" fontId="6" fillId="4" borderId="22" xfId="0" applyNumberFormat="1" applyFont="1" applyFill="1" applyBorder="1" applyAlignment="1" applyProtection="1">
      <alignment horizontal="right" vertical="top" wrapText="1"/>
      <protection hidden="1"/>
    </xf>
    <xf numFmtId="2" fontId="6" fillId="4" borderId="67" xfId="0" applyNumberFormat="1" applyFont="1" applyFill="1" applyBorder="1" applyAlignment="1" applyProtection="1">
      <alignment horizontal="right" vertical="top" wrapText="1"/>
      <protection hidden="1"/>
    </xf>
    <xf numFmtId="0" fontId="5" fillId="4" borderId="65" xfId="0" applyFont="1" applyFill="1" applyBorder="1" applyAlignment="1" applyProtection="1">
      <alignment horizontal="left" vertical="top" wrapText="1"/>
      <protection hidden="1"/>
    </xf>
    <xf numFmtId="0" fontId="5" fillId="4" borderId="14" xfId="0" applyFont="1" applyFill="1" applyBorder="1" applyAlignment="1" applyProtection="1">
      <alignment horizontal="left" vertical="top" wrapText="1"/>
      <protection hidden="1"/>
    </xf>
    <xf numFmtId="0" fontId="5" fillId="4" borderId="67" xfId="0" applyFont="1" applyFill="1" applyBorder="1" applyAlignment="1" applyProtection="1">
      <alignment horizontal="left" vertical="top" wrapText="1"/>
      <protection hidden="1"/>
    </xf>
    <xf numFmtId="0" fontId="5" fillId="4" borderId="64" xfId="0" applyFont="1" applyFill="1" applyBorder="1" applyAlignment="1" applyProtection="1">
      <alignment horizontal="left" vertical="top" wrapText="1"/>
      <protection hidden="1"/>
    </xf>
    <xf numFmtId="0" fontId="5" fillId="4" borderId="18" xfId="0" applyFont="1" applyFill="1" applyBorder="1" applyAlignment="1" applyProtection="1">
      <alignment horizontal="left" vertical="top" wrapText="1"/>
      <protection hidden="1"/>
    </xf>
    <xf numFmtId="0" fontId="5" fillId="4" borderId="54" xfId="0" applyFont="1" applyFill="1" applyBorder="1" applyAlignment="1" applyProtection="1">
      <alignment horizontal="left" vertical="top" wrapText="1"/>
      <protection hidden="1"/>
    </xf>
    <xf numFmtId="0" fontId="5" fillId="4" borderId="15" xfId="0" applyFont="1" applyFill="1" applyBorder="1" applyAlignment="1" applyProtection="1">
      <alignment horizontal="left" vertical="top" wrapText="1"/>
      <protection hidden="1"/>
    </xf>
    <xf numFmtId="0" fontId="5" fillId="4" borderId="13" xfId="0" applyFont="1" applyFill="1" applyBorder="1" applyAlignment="1" applyProtection="1">
      <alignment horizontal="left" vertical="top" wrapText="1"/>
      <protection hidden="1"/>
    </xf>
    <xf numFmtId="0" fontId="5" fillId="4" borderId="16" xfId="0" applyFont="1" applyFill="1" applyBorder="1" applyAlignment="1" applyProtection="1">
      <alignment horizontal="left" vertical="top" wrapText="1"/>
      <protection hidden="1"/>
    </xf>
    <xf numFmtId="0" fontId="5" fillId="4" borderId="44" xfId="0" applyFont="1" applyFill="1" applyBorder="1" applyAlignment="1" applyProtection="1">
      <alignment horizontal="left" vertical="top" wrapText="1"/>
      <protection hidden="1"/>
    </xf>
    <xf numFmtId="0" fontId="5" fillId="4" borderId="12" xfId="0" applyFont="1" applyFill="1" applyBorder="1" applyAlignment="1" applyProtection="1">
      <alignment horizontal="left" vertical="top" wrapText="1"/>
      <protection hidden="1"/>
    </xf>
    <xf numFmtId="0" fontId="5" fillId="4" borderId="56" xfId="0" applyFont="1" applyFill="1" applyBorder="1" applyAlignment="1" applyProtection="1">
      <alignment horizontal="left" vertical="top" wrapText="1"/>
      <protection hidden="1"/>
    </xf>
    <xf numFmtId="0" fontId="5" fillId="4" borderId="3" xfId="0" applyFont="1" applyFill="1" applyBorder="1" applyAlignment="1" applyProtection="1">
      <alignment horizontal="left" vertical="top" wrapText="1"/>
      <protection hidden="1"/>
    </xf>
    <xf numFmtId="0" fontId="5" fillId="4" borderId="55" xfId="0" applyFont="1" applyFill="1" applyBorder="1" applyAlignment="1" applyProtection="1">
      <alignment horizontal="left" vertical="top" wrapText="1"/>
      <protection hidden="1"/>
    </xf>
    <xf numFmtId="0" fontId="5" fillId="4" borderId="11" xfId="0" applyFont="1" applyFill="1" applyBorder="1" applyAlignment="1" applyProtection="1">
      <alignment horizontal="left" vertical="top" wrapText="1"/>
      <protection hidden="1"/>
    </xf>
    <xf numFmtId="0" fontId="5" fillId="4" borderId="50" xfId="0" applyFont="1" applyFill="1" applyBorder="1" applyAlignment="1" applyProtection="1">
      <alignment horizontal="left" vertical="top" wrapText="1"/>
      <protection hidden="1"/>
    </xf>
    <xf numFmtId="0" fontId="5" fillId="4" borderId="66" xfId="0" applyFont="1" applyFill="1" applyBorder="1" applyAlignment="1" applyProtection="1">
      <alignment horizontal="left" vertical="top" wrapText="1"/>
      <protection hidden="1"/>
    </xf>
    <xf numFmtId="0" fontId="5" fillId="4" borderId="68" xfId="0" applyFont="1" applyFill="1" applyBorder="1" applyAlignment="1" applyProtection="1">
      <alignment horizontal="left" vertical="top" wrapText="1"/>
      <protection hidden="1"/>
    </xf>
    <xf numFmtId="0" fontId="5" fillId="4" borderId="17" xfId="0" applyFont="1" applyFill="1" applyBorder="1" applyAlignment="1" applyProtection="1">
      <alignment horizontal="left" vertical="top" wrapText="1"/>
      <protection hidden="1"/>
    </xf>
    <xf numFmtId="0" fontId="5" fillId="4" borderId="5" xfId="0" applyFont="1" applyFill="1" applyBorder="1" applyAlignment="1" applyProtection="1">
      <alignment horizontal="left" vertical="top" wrapText="1"/>
      <protection hidden="1"/>
    </xf>
    <xf numFmtId="0" fontId="5" fillId="4" borderId="79" xfId="0" applyFont="1" applyFill="1" applyBorder="1" applyAlignment="1" applyProtection="1">
      <alignment horizontal="left" vertical="top" wrapText="1"/>
      <protection hidden="1"/>
    </xf>
    <xf numFmtId="0" fontId="5" fillId="4" borderId="58" xfId="0" applyFont="1" applyFill="1" applyBorder="1" applyAlignment="1" applyProtection="1">
      <alignment horizontal="left" vertical="top" wrapText="1"/>
      <protection hidden="1"/>
    </xf>
    <xf numFmtId="0" fontId="5" fillId="4" borderId="78" xfId="0" applyFont="1" applyFill="1" applyBorder="1" applyAlignment="1" applyProtection="1">
      <alignment horizontal="left" vertical="top" wrapText="1"/>
      <protection hidden="1"/>
    </xf>
    <xf numFmtId="0" fontId="5" fillId="4" borderId="57" xfId="0" applyFont="1" applyFill="1" applyBorder="1" applyAlignment="1" applyProtection="1">
      <alignment horizontal="left" vertical="top" wrapText="1"/>
      <protection hidden="1"/>
    </xf>
    <xf numFmtId="0" fontId="5" fillId="4" borderId="80" xfId="0" applyFont="1" applyFill="1" applyBorder="1" applyAlignment="1" applyProtection="1">
      <alignment horizontal="left" vertical="top" wrapText="1"/>
      <protection hidden="1"/>
    </xf>
    <xf numFmtId="164" fontId="6" fillId="3" borderId="77" xfId="0" applyNumberFormat="1" applyFont="1" applyFill="1" applyBorder="1" applyAlignment="1" applyProtection="1">
      <alignment horizontal="center" vertical="center" wrapText="1"/>
      <protection hidden="1"/>
    </xf>
    <xf numFmtId="0" fontId="0" fillId="0" borderId="0" xfId="0" applyProtection="1">
      <protection hidden="1"/>
    </xf>
    <xf numFmtId="2" fontId="25" fillId="0" borderId="102" xfId="0" applyNumberFormat="1" applyFont="1" applyBorder="1" applyAlignment="1">
      <alignment horizontal="left" vertical="center" wrapText="1"/>
    </xf>
    <xf numFmtId="2" fontId="25" fillId="0" borderId="0" xfId="0" applyNumberFormat="1" applyFont="1" applyAlignment="1">
      <alignment horizontal="left" vertical="center" wrapText="1"/>
    </xf>
    <xf numFmtId="0" fontId="27" fillId="3" borderId="36" xfId="0" applyFont="1" applyFill="1" applyBorder="1" applyAlignment="1" applyProtection="1">
      <alignment horizontal="center"/>
      <protection hidden="1"/>
    </xf>
    <xf numFmtId="164" fontId="26" fillId="3" borderId="93" xfId="0" applyNumberFormat="1" applyFont="1" applyFill="1" applyBorder="1" applyAlignment="1" applyProtection="1">
      <alignment horizontal="center" vertical="center" wrapText="1"/>
      <protection hidden="1"/>
    </xf>
    <xf numFmtId="0" fontId="25" fillId="4" borderId="38" xfId="0" applyFont="1" applyFill="1" applyBorder="1" applyAlignment="1" applyProtection="1">
      <alignment horizontal="left" vertical="top" wrapText="1"/>
      <protection hidden="1"/>
    </xf>
    <xf numFmtId="0" fontId="25" fillId="4" borderId="39" xfId="0" applyFont="1" applyFill="1" applyBorder="1" applyAlignment="1" applyProtection="1">
      <alignment horizontal="left" vertical="top" wrapText="1"/>
      <protection hidden="1"/>
    </xf>
    <xf numFmtId="0" fontId="25" fillId="4" borderId="40" xfId="0" applyFont="1" applyFill="1" applyBorder="1" applyAlignment="1" applyProtection="1">
      <alignment horizontal="left" vertical="top" wrapText="1"/>
      <protection hidden="1"/>
    </xf>
    <xf numFmtId="0" fontId="25" fillId="4" borderId="86" xfId="0" applyFont="1" applyFill="1" applyBorder="1" applyAlignment="1" applyProtection="1">
      <alignment horizontal="left" vertical="top" wrapText="1"/>
      <protection hidden="1"/>
    </xf>
    <xf numFmtId="164" fontId="25" fillId="4" borderId="39" xfId="0" applyNumberFormat="1" applyFont="1" applyFill="1" applyBorder="1" applyAlignment="1" applyProtection="1">
      <alignment horizontal="left" vertical="top" wrapText="1"/>
      <protection hidden="1"/>
    </xf>
    <xf numFmtId="0" fontId="25" fillId="0" borderId="0" xfId="0" applyFont="1" applyAlignment="1" applyProtection="1">
      <alignment horizontal="right" wrapText="1"/>
      <protection hidden="1"/>
    </xf>
    <xf numFmtId="164" fontId="26" fillId="3" borderId="37" xfId="0" applyNumberFormat="1" applyFont="1" applyFill="1" applyBorder="1" applyAlignment="1" applyProtection="1">
      <alignment horizontal="center" vertical="center" wrapText="1"/>
      <protection hidden="1"/>
    </xf>
    <xf numFmtId="164" fontId="26" fillId="4" borderId="41" xfId="0" applyNumberFormat="1" applyFont="1" applyFill="1" applyBorder="1" applyAlignment="1" applyProtection="1">
      <alignment horizontal="right" vertical="top" wrapText="1"/>
      <protection hidden="1"/>
    </xf>
    <xf numFmtId="2" fontId="26" fillId="4" borderId="63" xfId="0" applyNumberFormat="1" applyFont="1" applyFill="1" applyBorder="1" applyAlignment="1" applyProtection="1">
      <alignment horizontal="right" vertical="top" wrapText="1"/>
      <protection hidden="1"/>
    </xf>
    <xf numFmtId="0" fontId="25" fillId="0" borderId="0" xfId="0" applyFont="1" applyProtection="1">
      <protection hidden="1"/>
    </xf>
    <xf numFmtId="0" fontId="25" fillId="4" borderId="9" xfId="0" applyFont="1" applyFill="1" applyBorder="1" applyAlignment="1" applyProtection="1">
      <alignment horizontal="left" vertical="top" wrapText="1"/>
      <protection hidden="1"/>
    </xf>
    <xf numFmtId="0" fontId="25" fillId="4" borderId="62" xfId="0" applyFont="1" applyFill="1" applyBorder="1" applyAlignment="1" applyProtection="1">
      <alignment horizontal="left" vertical="top" wrapText="1"/>
      <protection hidden="1"/>
    </xf>
    <xf numFmtId="0" fontId="25" fillId="4" borderId="7" xfId="0" applyFont="1" applyFill="1" applyBorder="1" applyAlignment="1" applyProtection="1">
      <alignment horizontal="left" vertical="top" wrapText="1"/>
      <protection hidden="1"/>
    </xf>
    <xf numFmtId="0" fontId="25" fillId="4" borderId="85" xfId="0" applyFont="1" applyFill="1" applyBorder="1" applyAlignment="1" applyProtection="1">
      <alignment horizontal="left" vertical="top" wrapText="1"/>
      <protection hidden="1"/>
    </xf>
    <xf numFmtId="0" fontId="25" fillId="4" borderId="41" xfId="0" applyFont="1" applyFill="1" applyBorder="1" applyAlignment="1" applyProtection="1">
      <alignment horizontal="left" vertical="top" wrapText="1"/>
      <protection hidden="1"/>
    </xf>
    <xf numFmtId="0" fontId="25" fillId="4" borderId="84" xfId="0" applyFont="1" applyFill="1" applyBorder="1" applyAlignment="1" applyProtection="1">
      <alignment horizontal="left" vertical="top" wrapText="1"/>
      <protection hidden="1"/>
    </xf>
    <xf numFmtId="0" fontId="25" fillId="4" borderId="36" xfId="0" applyFont="1" applyFill="1" applyBorder="1" applyAlignment="1" applyProtection="1">
      <alignment horizontal="left" vertical="top" wrapText="1"/>
      <protection hidden="1"/>
    </xf>
    <xf numFmtId="0" fontId="25" fillId="4" borderId="70" xfId="0" applyFont="1" applyFill="1" applyBorder="1" applyAlignment="1" applyProtection="1">
      <alignment horizontal="left" vertical="top" wrapText="1"/>
      <protection hidden="1"/>
    </xf>
    <xf numFmtId="0" fontId="25" fillId="4" borderId="8" xfId="0" applyFont="1" applyFill="1" applyBorder="1" applyAlignment="1" applyProtection="1">
      <alignment horizontal="left" vertical="top" wrapText="1"/>
      <protection hidden="1"/>
    </xf>
    <xf numFmtId="0" fontId="25" fillId="4" borderId="73" xfId="0" applyFont="1" applyFill="1" applyBorder="1" applyAlignment="1" applyProtection="1">
      <alignment horizontal="left" vertical="top" wrapText="1"/>
      <protection hidden="1"/>
    </xf>
    <xf numFmtId="164" fontId="6" fillId="2" borderId="0" xfId="0" applyNumberFormat="1" applyFont="1" applyFill="1" applyAlignment="1" applyProtection="1">
      <alignment vertical="center" wrapText="1"/>
      <protection hidden="1"/>
    </xf>
    <xf numFmtId="2" fontId="5" fillId="0" borderId="0" xfId="0" applyNumberFormat="1" applyFont="1" applyAlignment="1" applyProtection="1">
      <alignment horizontal="left" vertical="center" wrapText="1"/>
      <protection hidden="1"/>
    </xf>
    <xf numFmtId="49" fontId="6" fillId="0" borderId="0" xfId="0" applyNumberFormat="1" applyFont="1" applyAlignment="1" applyProtection="1">
      <alignment vertical="top"/>
      <protection hidden="1"/>
    </xf>
    <xf numFmtId="0" fontId="23" fillId="0" borderId="0" xfId="0" applyFont="1" applyAlignment="1" applyProtection="1">
      <alignment horizontal="center" vertical="center" wrapText="1"/>
      <protection hidden="1"/>
    </xf>
    <xf numFmtId="0" fontId="6" fillId="0" borderId="0" xfId="0" applyFont="1" applyAlignment="1" applyProtection="1">
      <alignment vertical="top"/>
      <protection hidden="1"/>
    </xf>
    <xf numFmtId="49" fontId="25" fillId="0" borderId="0" xfId="0" applyNumberFormat="1" applyFont="1" applyAlignment="1" applyProtection="1">
      <alignment vertical="top"/>
      <protection hidden="1"/>
    </xf>
    <xf numFmtId="0" fontId="29" fillId="0" borderId="0" xfId="0" applyFont="1" applyProtection="1">
      <protection hidden="1"/>
    </xf>
    <xf numFmtId="2" fontId="25" fillId="0" borderId="0" xfId="0" applyNumberFormat="1" applyFont="1" applyAlignment="1" applyProtection="1">
      <alignment horizontal="left" vertical="center" wrapText="1"/>
      <protection hidden="1"/>
    </xf>
    <xf numFmtId="0" fontId="26" fillId="0" borderId="0" xfId="0" applyFont="1" applyAlignment="1" applyProtection="1">
      <alignment vertical="top"/>
      <protection hidden="1"/>
    </xf>
    <xf numFmtId="165" fontId="21" fillId="2" borderId="0" xfId="0" applyNumberFormat="1" applyFont="1" applyFill="1" applyAlignment="1">
      <alignment horizontal="center" vertical="top"/>
    </xf>
    <xf numFmtId="0" fontId="3" fillId="0" borderId="0" xfId="0" applyFont="1" applyAlignment="1">
      <alignment horizontal="center" vertical="center" wrapText="1"/>
    </xf>
    <xf numFmtId="0" fontId="8" fillId="0" borderId="0" xfId="0" applyFont="1" applyAlignment="1">
      <alignment horizontal="left" vertical="top" wrapText="1"/>
    </xf>
    <xf numFmtId="0" fontId="5" fillId="0" borderId="32" xfId="0" applyFont="1" applyBorder="1" applyAlignment="1">
      <alignment horizontal="left" vertical="center" wrapText="1" indent="1"/>
    </xf>
    <xf numFmtId="0" fontId="5" fillId="0" borderId="33" xfId="0" applyFont="1" applyBorder="1" applyAlignment="1">
      <alignment horizontal="left" vertical="center" wrapText="1" indent="1"/>
    </xf>
    <xf numFmtId="0" fontId="5" fillId="0" borderId="37" xfId="0" applyFont="1" applyBorder="1" applyAlignment="1">
      <alignment horizontal="left" vertical="center" wrapText="1" indent="1"/>
    </xf>
    <xf numFmtId="0" fontId="5" fillId="0" borderId="0" xfId="0" applyFont="1" applyAlignment="1">
      <alignment horizontal="left" vertical="top" wrapText="1"/>
    </xf>
    <xf numFmtId="0" fontId="5" fillId="0" borderId="2" xfId="0" applyFont="1" applyBorder="1" applyAlignment="1">
      <alignment horizontal="left" vertical="top" wrapText="1"/>
    </xf>
    <xf numFmtId="0" fontId="5" fillId="0" borderId="21" xfId="0" applyFont="1" applyBorder="1" applyAlignment="1">
      <alignment horizontal="left" vertical="top" wrapText="1"/>
    </xf>
    <xf numFmtId="0" fontId="5" fillId="0" borderId="39" xfId="0" applyFont="1" applyBorder="1" applyAlignment="1">
      <alignment horizontal="left" vertical="top" wrapText="1"/>
    </xf>
    <xf numFmtId="0" fontId="5" fillId="0" borderId="27" xfId="0" applyFont="1" applyBorder="1" applyAlignment="1">
      <alignment horizontal="left" vertical="top" wrapText="1"/>
    </xf>
    <xf numFmtId="0" fontId="5" fillId="0" borderId="30" xfId="0" applyFont="1" applyBorder="1" applyAlignment="1">
      <alignment horizontal="left" vertical="top" wrapText="1"/>
    </xf>
    <xf numFmtId="0" fontId="5" fillId="0" borderId="40" xfId="0" applyFont="1" applyBorder="1" applyAlignment="1">
      <alignment horizontal="left" vertical="top" wrapText="1"/>
    </xf>
    <xf numFmtId="0" fontId="5" fillId="0" borderId="28" xfId="0" applyFont="1" applyBorder="1" applyAlignment="1">
      <alignment horizontal="left" vertical="top" wrapText="1"/>
    </xf>
    <xf numFmtId="0" fontId="5" fillId="0" borderId="31" xfId="0" applyFont="1" applyBorder="1" applyAlignment="1">
      <alignment horizontal="left" vertical="top" wrapText="1"/>
    </xf>
    <xf numFmtId="0" fontId="5" fillId="0" borderId="48" xfId="0" applyFont="1" applyBorder="1" applyAlignment="1">
      <alignment horizontal="left" vertical="top" wrapText="1"/>
    </xf>
    <xf numFmtId="0" fontId="5" fillId="0" borderId="24" xfId="0" applyFont="1" applyBorder="1" applyAlignment="1">
      <alignment horizontal="left" vertical="top" wrapText="1"/>
    </xf>
    <xf numFmtId="0" fontId="5" fillId="0" borderId="25" xfId="0" applyFont="1" applyBorder="1" applyAlignment="1">
      <alignment horizontal="left" vertical="top" wrapText="1"/>
    </xf>
    <xf numFmtId="0" fontId="5" fillId="0" borderId="38" xfId="0" applyFont="1" applyBorder="1" applyAlignment="1">
      <alignment horizontal="left" vertical="top" wrapText="1"/>
    </xf>
    <xf numFmtId="164" fontId="3" fillId="7" borderId="5" xfId="0" applyNumberFormat="1" applyFont="1" applyFill="1" applyBorder="1" applyAlignment="1">
      <alignment horizontal="center" vertical="center"/>
    </xf>
    <xf numFmtId="164" fontId="3" fillId="7" borderId="6" xfId="0" applyNumberFormat="1" applyFont="1" applyFill="1" applyBorder="1" applyAlignment="1">
      <alignment horizontal="center" vertical="center"/>
    </xf>
    <xf numFmtId="164" fontId="3" fillId="7" borderId="7" xfId="0" applyNumberFormat="1" applyFont="1" applyFill="1" applyBorder="1" applyAlignment="1">
      <alignment horizontal="center" vertical="center"/>
    </xf>
    <xf numFmtId="164" fontId="4" fillId="3" borderId="5"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wrapText="1"/>
    </xf>
    <xf numFmtId="164" fontId="8" fillId="3" borderId="5" xfId="0" applyNumberFormat="1" applyFont="1" applyFill="1" applyBorder="1" applyAlignment="1">
      <alignment horizontal="left" vertical="center"/>
    </xf>
    <xf numFmtId="164" fontId="8" fillId="3" borderId="6" xfId="0" applyNumberFormat="1" applyFont="1" applyFill="1" applyBorder="1" applyAlignment="1">
      <alignment horizontal="left" vertical="center"/>
    </xf>
    <xf numFmtId="164" fontId="8" fillId="3" borderId="7" xfId="0" applyNumberFormat="1" applyFont="1" applyFill="1" applyBorder="1" applyAlignment="1">
      <alignment horizontal="left" vertical="center"/>
    </xf>
    <xf numFmtId="0" fontId="5" fillId="0" borderId="26" xfId="0" applyFont="1" applyBorder="1" applyAlignment="1">
      <alignment horizontal="left" vertical="top" wrapText="1"/>
    </xf>
    <xf numFmtId="0" fontId="5" fillId="0" borderId="34" xfId="0" applyFont="1" applyBorder="1" applyAlignment="1">
      <alignment horizontal="left" vertical="top" wrapText="1"/>
    </xf>
    <xf numFmtId="0" fontId="5" fillId="0" borderId="62" xfId="0" applyFont="1" applyBorder="1" applyAlignment="1">
      <alignment horizontal="left" vertical="top" wrapText="1"/>
    </xf>
    <xf numFmtId="0" fontId="5" fillId="0" borderId="19" xfId="0" applyFont="1" applyBorder="1" applyAlignment="1">
      <alignment horizontal="right" vertical="top" wrapText="1"/>
    </xf>
    <xf numFmtId="0" fontId="5" fillId="0" borderId="9" xfId="0" applyFont="1" applyBorder="1" applyAlignment="1">
      <alignment horizontal="right" vertical="top" wrapText="1"/>
    </xf>
    <xf numFmtId="0" fontId="5" fillId="0" borderId="66" xfId="2" applyBorder="1" applyAlignment="1">
      <alignment horizontal="left" vertical="top" wrapText="1"/>
    </xf>
    <xf numFmtId="0" fontId="5" fillId="0" borderId="65" xfId="2" applyBorder="1" applyAlignment="1">
      <alignment horizontal="left" vertical="top" wrapText="1"/>
    </xf>
    <xf numFmtId="0" fontId="5" fillId="0" borderId="17" xfId="2" applyBorder="1" applyAlignment="1">
      <alignment horizontal="left" vertical="top" wrapText="1"/>
    </xf>
    <xf numFmtId="0" fontId="5" fillId="0" borderId="14" xfId="2" applyBorder="1" applyAlignment="1">
      <alignment horizontal="left" vertical="top" wrapText="1"/>
    </xf>
    <xf numFmtId="0" fontId="5" fillId="0" borderId="26" xfId="0" applyFont="1" applyBorder="1" applyAlignment="1">
      <alignment horizontal="right" vertical="top" wrapText="1"/>
    </xf>
    <xf numFmtId="0" fontId="5" fillId="0" borderId="62" xfId="0" applyFont="1" applyBorder="1" applyAlignment="1">
      <alignment horizontal="right" vertical="top" wrapText="1"/>
    </xf>
    <xf numFmtId="0" fontId="5" fillId="0" borderId="22" xfId="0" applyFont="1" applyBorder="1" applyAlignment="1">
      <alignment horizontal="right" vertical="top" wrapText="1"/>
    </xf>
    <xf numFmtId="0" fontId="5" fillId="0" borderId="63" xfId="0" applyFont="1" applyBorder="1" applyAlignment="1">
      <alignment horizontal="right" vertical="top" wrapText="1"/>
    </xf>
    <xf numFmtId="0" fontId="5" fillId="0" borderId="44" xfId="2" applyBorder="1" applyAlignment="1">
      <alignment horizontal="left" vertical="top" wrapText="1"/>
    </xf>
    <xf numFmtId="0" fontId="5" fillId="0" borderId="11" xfId="2" applyBorder="1" applyAlignment="1">
      <alignment horizontal="left" vertical="top" wrapText="1"/>
    </xf>
    <xf numFmtId="0" fontId="5" fillId="0" borderId="2" xfId="0" applyFont="1" applyBorder="1" applyAlignment="1">
      <alignment horizontal="right" vertical="top" wrapText="1"/>
    </xf>
    <xf numFmtId="0" fontId="5" fillId="0" borderId="39" xfId="0" applyFont="1" applyBorder="1" applyAlignment="1">
      <alignment horizontal="right" vertical="top" wrapText="1"/>
    </xf>
    <xf numFmtId="0" fontId="5" fillId="0" borderId="4" xfId="0" applyFont="1" applyBorder="1" applyAlignment="1">
      <alignment horizontal="right" vertical="top" wrapText="1"/>
    </xf>
    <xf numFmtId="0" fontId="5" fillId="0" borderId="41" xfId="0" applyFont="1" applyBorder="1" applyAlignment="1">
      <alignment horizontal="right" vertical="top" wrapText="1"/>
    </xf>
    <xf numFmtId="0" fontId="5" fillId="0" borderId="29" xfId="0" quotePrefix="1" applyFont="1" applyBorder="1" applyAlignment="1" applyProtection="1">
      <alignment horizontal="right" vertical="top" wrapText="1"/>
      <protection locked="0"/>
    </xf>
    <xf numFmtId="0" fontId="5" fillId="0" borderId="7" xfId="0" quotePrefix="1" applyFont="1" applyBorder="1" applyAlignment="1" applyProtection="1">
      <alignment horizontal="right" vertical="top" wrapText="1"/>
      <protection locked="0"/>
    </xf>
    <xf numFmtId="0" fontId="5" fillId="2" borderId="22" xfId="1" applyNumberFormat="1" applyFont="1" applyFill="1" applyBorder="1" applyAlignment="1" applyProtection="1">
      <alignment horizontal="left" vertical="top" wrapText="1"/>
    </xf>
    <xf numFmtId="0" fontId="5" fillId="2" borderId="23" xfId="1" applyNumberFormat="1" applyFont="1" applyFill="1" applyBorder="1" applyAlignment="1" applyProtection="1">
      <alignment horizontal="left" vertical="top" wrapText="1"/>
    </xf>
    <xf numFmtId="0" fontId="5" fillId="2" borderId="63" xfId="1" applyNumberFormat="1" applyFont="1" applyFill="1" applyBorder="1" applyAlignment="1" applyProtection="1">
      <alignment horizontal="left" vertical="top" wrapText="1"/>
    </xf>
    <xf numFmtId="164" fontId="8" fillId="3" borderId="5" xfId="0" applyNumberFormat="1" applyFont="1" applyFill="1" applyBorder="1" applyAlignment="1">
      <alignment horizontal="left" vertical="center" wrapText="1"/>
    </xf>
    <xf numFmtId="164" fontId="8" fillId="3" borderId="6" xfId="0" applyNumberFormat="1" applyFont="1" applyFill="1" applyBorder="1" applyAlignment="1">
      <alignment horizontal="left" vertical="center" wrapText="1"/>
    </xf>
    <xf numFmtId="164" fontId="8" fillId="3" borderId="7" xfId="0" applyNumberFormat="1" applyFont="1" applyFill="1" applyBorder="1" applyAlignment="1">
      <alignment horizontal="left" vertical="center" wrapText="1"/>
    </xf>
    <xf numFmtId="0" fontId="6" fillId="3" borderId="29" xfId="0" applyFont="1" applyFill="1" applyBorder="1" applyAlignment="1">
      <alignment horizontal="left" vertical="center" wrapText="1"/>
    </xf>
    <xf numFmtId="0" fontId="6" fillId="3" borderId="7" xfId="0" applyFont="1" applyFill="1" applyBorder="1" applyAlignment="1">
      <alignment horizontal="left" vertical="center" wrapText="1"/>
    </xf>
    <xf numFmtId="0" fontId="5" fillId="0" borderId="15" xfId="2" applyBorder="1" applyAlignment="1">
      <alignment horizontal="left" vertical="top" wrapText="1"/>
    </xf>
    <xf numFmtId="0" fontId="5" fillId="0" borderId="13" xfId="2" applyBorder="1" applyAlignment="1">
      <alignment horizontal="left" vertical="top" wrapText="1"/>
    </xf>
    <xf numFmtId="0" fontId="5" fillId="0" borderId="29" xfId="0" applyFont="1" applyBorder="1" applyAlignment="1">
      <alignment horizontal="right" vertical="top" wrapText="1"/>
    </xf>
    <xf numFmtId="0" fontId="5" fillId="0" borderId="7" xfId="0" applyFont="1" applyBorder="1" applyAlignment="1">
      <alignment horizontal="right" vertical="top" wrapText="1"/>
    </xf>
    <xf numFmtId="0" fontId="6" fillId="3" borderId="15"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6" xfId="0" applyFont="1" applyFill="1" applyBorder="1" applyAlignment="1">
      <alignment horizontal="left" vertical="center" wrapText="1"/>
    </xf>
    <xf numFmtId="0" fontId="5" fillId="2" borderId="56" xfId="2" applyFill="1" applyBorder="1" applyAlignment="1">
      <alignment horizontal="left" vertical="top" wrapText="1"/>
    </xf>
    <xf numFmtId="0" fontId="5" fillId="2" borderId="3" xfId="2" applyFill="1" applyBorder="1" applyAlignment="1">
      <alignment horizontal="left" vertical="top" wrapText="1"/>
    </xf>
    <xf numFmtId="0" fontId="5" fillId="2" borderId="55" xfId="2" applyFill="1" applyBorder="1" applyAlignment="1">
      <alignment horizontal="left" vertical="top" wrapText="1"/>
    </xf>
    <xf numFmtId="0" fontId="5" fillId="0" borderId="45" xfId="2" applyBorder="1" applyAlignment="1">
      <alignment horizontal="left" vertical="top" wrapText="1"/>
    </xf>
    <xf numFmtId="0" fontId="5" fillId="0" borderId="1" xfId="2" applyBorder="1" applyAlignment="1">
      <alignment horizontal="left" vertical="top" wrapText="1"/>
    </xf>
    <xf numFmtId="0" fontId="5" fillId="0" borderId="51" xfId="2" applyBorder="1" applyAlignment="1">
      <alignment horizontal="left" vertical="top" wrapText="1"/>
    </xf>
    <xf numFmtId="0" fontId="5" fillId="0" borderId="60" xfId="2" applyBorder="1" applyAlignment="1">
      <alignment horizontal="left" vertical="top" wrapText="1"/>
    </xf>
    <xf numFmtId="0" fontId="5" fillId="0" borderId="12" xfId="2" applyBorder="1" applyAlignment="1">
      <alignment horizontal="left" vertical="top" wrapText="1"/>
    </xf>
    <xf numFmtId="0" fontId="5" fillId="0" borderId="61" xfId="2" applyBorder="1" applyAlignment="1">
      <alignment horizontal="left" vertical="top" wrapText="1"/>
    </xf>
    <xf numFmtId="0" fontId="5" fillId="0" borderId="58" xfId="2" applyBorder="1" applyAlignment="1">
      <alignment horizontal="left" vertical="top" wrapText="1"/>
    </xf>
    <xf numFmtId="0" fontId="5" fillId="0" borderId="21" xfId="2" applyBorder="1" applyAlignment="1">
      <alignment horizontal="left" vertical="top" wrapText="1"/>
    </xf>
    <xf numFmtId="0" fontId="5" fillId="0" borderId="39" xfId="2" applyBorder="1" applyAlignment="1">
      <alignment horizontal="left" vertical="top" wrapText="1"/>
    </xf>
    <xf numFmtId="0" fontId="6" fillId="3" borderId="18" xfId="0" applyFont="1" applyFill="1" applyBorder="1" applyAlignment="1">
      <alignment horizontal="left" vertical="center" wrapText="1"/>
    </xf>
    <xf numFmtId="0" fontId="6" fillId="3" borderId="54" xfId="0" applyFont="1" applyFill="1" applyBorder="1" applyAlignment="1">
      <alignment horizontal="left" vertical="center" wrapText="1"/>
    </xf>
    <xf numFmtId="0" fontId="5" fillId="0" borderId="19" xfId="0" quotePrefix="1" applyFont="1" applyBorder="1" applyAlignment="1" applyProtection="1">
      <alignment horizontal="right" vertical="top" wrapText="1"/>
      <protection locked="0"/>
    </xf>
    <xf numFmtId="0" fontId="5" fillId="0" borderId="9" xfId="0" quotePrefix="1" applyFont="1" applyBorder="1" applyAlignment="1" applyProtection="1">
      <alignment horizontal="right" vertical="top" wrapText="1"/>
      <protection locked="0"/>
    </xf>
    <xf numFmtId="164" fontId="9" fillId="6" borderId="5" xfId="0" applyNumberFormat="1" applyFont="1" applyFill="1" applyBorder="1" applyAlignment="1">
      <alignment horizontal="center" vertical="center"/>
    </xf>
    <xf numFmtId="164" fontId="9" fillId="6" borderId="6" xfId="0" applyNumberFormat="1" applyFont="1" applyFill="1" applyBorder="1" applyAlignment="1">
      <alignment horizontal="center" vertical="center"/>
    </xf>
    <xf numFmtId="164" fontId="9" fillId="6" borderId="7" xfId="0" applyNumberFormat="1" applyFont="1" applyFill="1" applyBorder="1" applyAlignment="1">
      <alignment horizontal="center" vertical="center"/>
    </xf>
    <xf numFmtId="0" fontId="5" fillId="2" borderId="58" xfId="2" applyFill="1" applyBorder="1" applyAlignment="1">
      <alignment horizontal="left" vertical="top" wrapText="1"/>
    </xf>
    <xf numFmtId="0" fontId="5" fillId="2" borderId="21" xfId="2" applyFill="1" applyBorder="1" applyAlignment="1">
      <alignment horizontal="left" vertical="top" wrapText="1"/>
    </xf>
    <xf numFmtId="0" fontId="5" fillId="2" borderId="39" xfId="2" applyFill="1" applyBorder="1" applyAlignment="1">
      <alignment horizontal="left" vertical="top"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5" fillId="2" borderId="79" xfId="2" applyFill="1" applyBorder="1" applyAlignment="1">
      <alignment horizontal="left" vertical="top" wrapText="1"/>
    </xf>
    <xf numFmtId="0" fontId="5" fillId="2" borderId="34" xfId="2" applyFill="1" applyBorder="1" applyAlignment="1">
      <alignment horizontal="left" vertical="top" wrapText="1"/>
    </xf>
    <xf numFmtId="0" fontId="5" fillId="2" borderId="62" xfId="2" applyFill="1" applyBorder="1" applyAlignment="1">
      <alignment horizontal="left" vertical="top" wrapText="1"/>
    </xf>
    <xf numFmtId="164" fontId="8" fillId="3" borderId="5" xfId="0" applyNumberFormat="1" applyFont="1" applyFill="1" applyBorder="1" applyAlignment="1" applyProtection="1">
      <alignment horizontal="center" vertical="center" wrapText="1"/>
      <protection hidden="1"/>
    </xf>
    <xf numFmtId="164" fontId="8" fillId="3" borderId="7" xfId="0" applyNumberFormat="1" applyFont="1" applyFill="1" applyBorder="1" applyAlignment="1" applyProtection="1">
      <alignment horizontal="center" vertical="center" wrapText="1"/>
      <protection hidden="1"/>
    </xf>
    <xf numFmtId="0" fontId="5" fillId="0" borderId="80" xfId="2" applyBorder="1" applyAlignment="1">
      <alignment horizontal="left" vertical="top" wrapText="1"/>
    </xf>
    <xf numFmtId="0" fontId="5" fillId="0" borderId="23" xfId="2" applyBorder="1" applyAlignment="1">
      <alignment horizontal="left" vertical="top" wrapText="1"/>
    </xf>
    <xf numFmtId="0" fontId="5" fillId="0" borderId="63" xfId="2" applyBorder="1" applyAlignment="1">
      <alignment horizontal="left" vertical="top" wrapText="1"/>
    </xf>
    <xf numFmtId="164" fontId="8" fillId="3" borderId="69" xfId="0" applyNumberFormat="1" applyFont="1" applyFill="1" applyBorder="1" applyAlignment="1" applyProtection="1">
      <alignment horizontal="center" vertical="center"/>
      <protection hidden="1"/>
    </xf>
    <xf numFmtId="164" fontId="8" fillId="3" borderId="35" xfId="0" applyNumberFormat="1" applyFont="1" applyFill="1" applyBorder="1" applyAlignment="1" applyProtection="1">
      <alignment horizontal="center" vertical="center"/>
      <protection hidden="1"/>
    </xf>
    <xf numFmtId="164" fontId="8" fillId="3" borderId="84" xfId="0" applyNumberFormat="1" applyFont="1" applyFill="1" applyBorder="1" applyAlignment="1" applyProtection="1">
      <alignment horizontal="center" vertical="center"/>
      <protection hidden="1"/>
    </xf>
    <xf numFmtId="164" fontId="3" fillId="8" borderId="5" xfId="0" applyNumberFormat="1" applyFont="1" applyFill="1" applyBorder="1" applyAlignment="1">
      <alignment horizontal="center" vertical="center"/>
    </xf>
    <xf numFmtId="164" fontId="3" fillId="8" borderId="6" xfId="0" applyNumberFormat="1" applyFont="1" applyFill="1" applyBorder="1" applyAlignment="1">
      <alignment horizontal="center" vertical="center"/>
    </xf>
    <xf numFmtId="164" fontId="3" fillId="8" borderId="7" xfId="0" applyNumberFormat="1" applyFont="1" applyFill="1" applyBorder="1" applyAlignment="1">
      <alignment horizontal="center" vertical="center"/>
    </xf>
    <xf numFmtId="0" fontId="5" fillId="2" borderId="17" xfId="2" applyFill="1" applyBorder="1" applyAlignment="1">
      <alignment horizontal="left" vertical="top" wrapText="1"/>
    </xf>
    <xf numFmtId="0" fontId="5" fillId="2" borderId="14" xfId="2" applyFill="1" applyBorder="1" applyAlignment="1">
      <alignment horizontal="left" vertical="top" wrapText="1"/>
    </xf>
    <xf numFmtId="0" fontId="5" fillId="0" borderId="26" xfId="0" quotePrefix="1" applyFont="1" applyBorder="1" applyAlignment="1">
      <alignment horizontal="right" vertical="top" wrapText="1"/>
    </xf>
    <xf numFmtId="0" fontId="5" fillId="0" borderId="19" xfId="0" quotePrefix="1" applyFont="1" applyBorder="1" applyAlignment="1">
      <alignment horizontal="right" vertical="top" wrapText="1"/>
    </xf>
    <xf numFmtId="0" fontId="5" fillId="0" borderId="29" xfId="0" quotePrefix="1" applyFont="1" applyBorder="1" applyAlignment="1">
      <alignment horizontal="right" vertical="top" wrapText="1"/>
    </xf>
    <xf numFmtId="0" fontId="5" fillId="0" borderId="7" xfId="0" quotePrefix="1" applyFont="1" applyBorder="1" applyAlignment="1">
      <alignment horizontal="right" vertical="top" wrapText="1"/>
    </xf>
    <xf numFmtId="0" fontId="5" fillId="0" borderId="9" xfId="0" quotePrefix="1" applyFont="1" applyBorder="1" applyAlignment="1">
      <alignment horizontal="right" vertical="top" wrapText="1"/>
    </xf>
    <xf numFmtId="0" fontId="5" fillId="0" borderId="95" xfId="0" applyFont="1" applyBorder="1" applyAlignment="1">
      <alignment horizontal="right" vertical="top" wrapText="1"/>
    </xf>
    <xf numFmtId="0" fontId="5" fillId="0" borderId="92" xfId="0" applyFont="1" applyBorder="1" applyAlignment="1">
      <alignment horizontal="right" vertical="top" wrapText="1"/>
    </xf>
    <xf numFmtId="0" fontId="5" fillId="0" borderId="96" xfId="0" applyFont="1" applyBorder="1" applyAlignment="1">
      <alignment horizontal="right" vertical="top" wrapText="1"/>
    </xf>
    <xf numFmtId="0" fontId="5" fillId="0" borderId="97" xfId="0" applyFont="1" applyBorder="1" applyAlignment="1">
      <alignment horizontal="right" vertical="top" wrapText="1"/>
    </xf>
    <xf numFmtId="0" fontId="5" fillId="0" borderId="24" xfId="0" applyFont="1" applyBorder="1" applyAlignment="1">
      <alignment vertical="top" wrapText="1"/>
    </xf>
    <xf numFmtId="0" fontId="5" fillId="0" borderId="25" xfId="0" applyFont="1" applyBorder="1" applyAlignment="1">
      <alignment vertical="top" wrapText="1"/>
    </xf>
    <xf numFmtId="0" fontId="5" fillId="0" borderId="38" xfId="0" applyFont="1" applyBorder="1" applyAlignment="1">
      <alignment vertical="top" wrapText="1"/>
    </xf>
    <xf numFmtId="164" fontId="3" fillId="9" borderId="5" xfId="0" applyNumberFormat="1" applyFont="1" applyFill="1" applyBorder="1" applyAlignment="1">
      <alignment horizontal="center" vertical="center"/>
    </xf>
    <xf numFmtId="164" fontId="3" fillId="9" borderId="6" xfId="0" applyNumberFormat="1" applyFont="1" applyFill="1" applyBorder="1" applyAlignment="1">
      <alignment horizontal="center" vertical="center"/>
    </xf>
    <xf numFmtId="164" fontId="3" fillId="9" borderId="7" xfId="0" applyNumberFormat="1" applyFont="1" applyFill="1" applyBorder="1" applyAlignment="1">
      <alignment horizontal="center" vertical="center"/>
    </xf>
    <xf numFmtId="0" fontId="5" fillId="0" borderId="22" xfId="0" quotePrefix="1" applyFont="1" applyBorder="1" applyAlignment="1" applyProtection="1">
      <alignment horizontal="right" vertical="top" wrapText="1"/>
      <protection locked="0"/>
    </xf>
    <xf numFmtId="0" fontId="5" fillId="0" borderId="63" xfId="0" quotePrefix="1" applyFont="1" applyBorder="1" applyAlignment="1" applyProtection="1">
      <alignment horizontal="right" vertical="top" wrapText="1"/>
      <protection locked="0"/>
    </xf>
    <xf numFmtId="0" fontId="5" fillId="0" borderId="88" xfId="2" applyBorder="1" applyAlignment="1">
      <alignment horizontal="left" vertical="top" wrapText="1"/>
    </xf>
    <xf numFmtId="0" fontId="5" fillId="0" borderId="81" xfId="2" applyBorder="1" applyAlignment="1">
      <alignment horizontal="left" vertical="top" wrapText="1"/>
    </xf>
    <xf numFmtId="164" fontId="4" fillId="3" borderId="78" xfId="0" applyNumberFormat="1" applyFont="1" applyFill="1" applyBorder="1" applyAlignment="1">
      <alignment horizontal="center" vertical="center" wrapText="1"/>
    </xf>
    <xf numFmtId="164" fontId="4" fillId="3" borderId="101" xfId="0" applyNumberFormat="1" applyFont="1" applyFill="1" applyBorder="1" applyAlignment="1">
      <alignment horizontal="center" vertical="center" wrapText="1"/>
    </xf>
    <xf numFmtId="164" fontId="4" fillId="3" borderId="9" xfId="0" applyNumberFormat="1" applyFont="1" applyFill="1" applyBorder="1" applyAlignment="1">
      <alignment horizontal="center" vertical="center" wrapText="1"/>
    </xf>
    <xf numFmtId="0" fontId="5" fillId="0" borderId="22" xfId="0" quotePrefix="1" applyFont="1" applyBorder="1" applyAlignment="1">
      <alignment horizontal="right" vertical="top" wrapText="1"/>
    </xf>
    <xf numFmtId="0" fontId="5" fillId="0" borderId="63" xfId="0" quotePrefix="1" applyFont="1" applyBorder="1" applyAlignment="1">
      <alignment horizontal="right" vertical="top" wrapText="1"/>
    </xf>
    <xf numFmtId="0" fontId="5" fillId="0" borderId="99" xfId="0" applyFont="1" applyBorder="1" applyAlignment="1">
      <alignment horizontal="right" vertical="top" wrapText="1"/>
    </xf>
    <xf numFmtId="0" fontId="5" fillId="0" borderId="66" xfId="2" applyBorder="1" applyAlignment="1">
      <alignment horizontal="center" vertical="top" wrapText="1"/>
    </xf>
    <xf numFmtId="0" fontId="5" fillId="0" borderId="65" xfId="2" applyBorder="1" applyAlignment="1">
      <alignment horizontal="center" vertical="top" wrapText="1"/>
    </xf>
    <xf numFmtId="0" fontId="5" fillId="0" borderId="91" xfId="0" applyFont="1" applyBorder="1" applyAlignment="1">
      <alignment horizontal="right" vertical="top" wrapText="1"/>
    </xf>
    <xf numFmtId="164" fontId="3" fillId="14" borderId="5" xfId="0" applyNumberFormat="1" applyFont="1" applyFill="1" applyBorder="1" applyAlignment="1">
      <alignment horizontal="center" vertical="center"/>
    </xf>
    <xf numFmtId="164" fontId="3" fillId="14" borderId="6" xfId="0" applyNumberFormat="1" applyFont="1" applyFill="1" applyBorder="1" applyAlignment="1">
      <alignment horizontal="center" vertical="center"/>
    </xf>
    <xf numFmtId="164" fontId="3" fillId="14" borderId="7" xfId="0" applyNumberFormat="1" applyFont="1" applyFill="1" applyBorder="1" applyAlignment="1">
      <alignment horizontal="center" vertical="center"/>
    </xf>
    <xf numFmtId="164" fontId="9" fillId="15" borderId="5" xfId="0" applyNumberFormat="1" applyFont="1" applyFill="1" applyBorder="1" applyAlignment="1">
      <alignment horizontal="center" vertical="center"/>
    </xf>
    <xf numFmtId="164" fontId="9" fillId="15" borderId="6" xfId="0" applyNumberFormat="1" applyFont="1" applyFill="1" applyBorder="1" applyAlignment="1">
      <alignment horizontal="center" vertical="center"/>
    </xf>
    <xf numFmtId="164" fontId="9" fillId="15" borderId="7" xfId="0" applyNumberFormat="1" applyFont="1" applyFill="1" applyBorder="1" applyAlignment="1">
      <alignment horizontal="center" vertical="center"/>
    </xf>
    <xf numFmtId="0" fontId="25" fillId="0" borderId="29" xfId="0" quotePrefix="1" applyFont="1" applyBorder="1" applyAlignment="1" applyProtection="1">
      <alignment horizontal="right" vertical="top" wrapText="1"/>
      <protection locked="0"/>
    </xf>
    <xf numFmtId="0" fontId="25" fillId="0" borderId="7" xfId="0" quotePrefix="1" applyFont="1" applyBorder="1" applyAlignment="1" applyProtection="1">
      <alignment horizontal="right" vertical="top" wrapText="1"/>
      <protection locked="0"/>
    </xf>
    <xf numFmtId="0" fontId="25" fillId="0" borderId="29" xfId="0" applyFont="1" applyBorder="1" applyAlignment="1">
      <alignment horizontal="right" vertical="top" wrapText="1"/>
    </xf>
    <xf numFmtId="0" fontId="25" fillId="0" borderId="7" xfId="0" applyFont="1" applyBorder="1" applyAlignment="1">
      <alignment horizontal="right" vertical="top" wrapText="1"/>
    </xf>
    <xf numFmtId="0" fontId="25" fillId="0" borderId="66" xfId="2" applyFont="1" applyBorder="1" applyAlignment="1">
      <alignment horizontal="left" vertical="top" wrapText="1"/>
    </xf>
    <xf numFmtId="0" fontId="25" fillId="0" borderId="65" xfId="2" applyFont="1" applyBorder="1" applyAlignment="1">
      <alignment horizontal="left" vertical="top" wrapText="1"/>
    </xf>
    <xf numFmtId="0" fontId="25" fillId="0" borderId="17" xfId="2" applyFont="1" applyBorder="1" applyAlignment="1">
      <alignment horizontal="left" vertical="top" wrapText="1"/>
    </xf>
    <xf numFmtId="0" fontId="25" fillId="0" borderId="14" xfId="2" applyFont="1" applyBorder="1" applyAlignment="1">
      <alignment horizontal="left" vertical="top" wrapText="1"/>
    </xf>
    <xf numFmtId="0" fontId="25" fillId="0" borderId="26" xfId="0" applyFont="1" applyBorder="1" applyAlignment="1">
      <alignment horizontal="right" vertical="top" wrapText="1"/>
    </xf>
    <xf numFmtId="0" fontId="25" fillId="0" borderId="62" xfId="0" applyFont="1" applyBorder="1" applyAlignment="1">
      <alignment horizontal="right" vertical="top" wrapText="1"/>
    </xf>
    <xf numFmtId="0" fontId="25" fillId="0" borderId="19" xfId="0" applyFont="1" applyBorder="1" applyAlignment="1">
      <alignment horizontal="right" vertical="top" wrapText="1"/>
    </xf>
    <xf numFmtId="0" fontId="25" fillId="0" borderId="9" xfId="0" applyFont="1" applyBorder="1" applyAlignment="1">
      <alignment horizontal="right" vertical="top" wrapText="1"/>
    </xf>
    <xf numFmtId="0" fontId="25" fillId="0" borderId="44" xfId="2" applyFont="1" applyBorder="1" applyAlignment="1">
      <alignment horizontal="left" vertical="top" wrapText="1"/>
    </xf>
    <xf numFmtId="0" fontId="25" fillId="0" borderId="11" xfId="2" applyFont="1" applyBorder="1" applyAlignment="1">
      <alignment horizontal="left" vertical="top" wrapText="1"/>
    </xf>
    <xf numFmtId="0" fontId="25" fillId="0" borderId="2" xfId="0" applyFont="1" applyBorder="1" applyAlignment="1">
      <alignment horizontal="right" vertical="top" wrapText="1"/>
    </xf>
    <xf numFmtId="0" fontId="25" fillId="0" borderId="39" xfId="0" applyFont="1" applyBorder="1" applyAlignment="1">
      <alignment horizontal="right" vertical="top" wrapText="1"/>
    </xf>
    <xf numFmtId="0" fontId="26" fillId="3" borderId="18" xfId="0" applyFont="1" applyFill="1" applyBorder="1" applyAlignment="1">
      <alignment horizontal="left" vertical="center" wrapText="1"/>
    </xf>
    <xf numFmtId="0" fontId="26" fillId="3" borderId="54" xfId="0" applyFont="1" applyFill="1" applyBorder="1" applyAlignment="1">
      <alignment horizontal="left" vertical="center" wrapText="1"/>
    </xf>
    <xf numFmtId="0" fontId="25" fillId="0" borderId="19" xfId="0" quotePrefix="1" applyFont="1" applyBorder="1" applyAlignment="1" applyProtection="1">
      <alignment horizontal="right" vertical="top" wrapText="1"/>
      <protection locked="0"/>
    </xf>
    <xf numFmtId="0" fontId="25" fillId="0" borderId="9" xfId="0" quotePrefix="1" applyFont="1" applyBorder="1" applyAlignment="1" applyProtection="1">
      <alignment horizontal="right" vertical="top" wrapText="1"/>
      <protection locked="0"/>
    </xf>
    <xf numFmtId="164" fontId="27" fillId="3" borderId="5" xfId="0" applyNumberFormat="1" applyFont="1" applyFill="1" applyBorder="1" applyAlignment="1">
      <alignment horizontal="left" vertical="center" wrapText="1"/>
    </xf>
    <xf numFmtId="164" fontId="27" fillId="3" borderId="6" xfId="0" applyNumberFormat="1" applyFont="1" applyFill="1" applyBorder="1" applyAlignment="1">
      <alignment horizontal="left" vertical="center" wrapText="1"/>
    </xf>
    <xf numFmtId="164" fontId="27" fillId="3" borderId="7" xfId="0" applyNumberFormat="1" applyFont="1" applyFill="1" applyBorder="1" applyAlignment="1">
      <alignment horizontal="left" vertical="center" wrapText="1"/>
    </xf>
    <xf numFmtId="0" fontId="25" fillId="0" borderId="22" xfId="0" applyFont="1" applyBorder="1" applyAlignment="1">
      <alignment horizontal="right" vertical="top" wrapText="1"/>
    </xf>
    <xf numFmtId="0" fontId="25" fillId="0" borderId="63" xfId="0" applyFont="1" applyBorder="1" applyAlignment="1">
      <alignment horizontal="right" vertical="top" wrapText="1"/>
    </xf>
    <xf numFmtId="0" fontId="25" fillId="0" borderId="15" xfId="2" applyFont="1" applyBorder="1" applyAlignment="1">
      <alignment horizontal="left" vertical="top" wrapText="1"/>
    </xf>
    <xf numFmtId="0" fontId="25" fillId="0" borderId="13" xfId="2" applyFont="1" applyBorder="1" applyAlignment="1">
      <alignment horizontal="left" vertical="top" wrapText="1"/>
    </xf>
    <xf numFmtId="0" fontId="25" fillId="0" borderId="4" xfId="0" applyFont="1" applyBorder="1" applyAlignment="1">
      <alignment horizontal="right" vertical="top" wrapText="1"/>
    </xf>
    <xf numFmtId="0" fontId="25" fillId="0" borderId="41" xfId="0" applyFont="1" applyBorder="1" applyAlignment="1">
      <alignment horizontal="right" vertical="top" wrapText="1"/>
    </xf>
    <xf numFmtId="0" fontId="25" fillId="0" borderId="28" xfId="0" applyFont="1" applyBorder="1" applyAlignment="1">
      <alignment horizontal="left" vertical="top" wrapText="1"/>
    </xf>
    <xf numFmtId="0" fontId="25" fillId="0" borderId="31" xfId="0" applyFont="1" applyBorder="1" applyAlignment="1">
      <alignment horizontal="left" vertical="top" wrapText="1"/>
    </xf>
    <xf numFmtId="0" fontId="25" fillId="0" borderId="48" xfId="0" applyFont="1" applyBorder="1" applyAlignment="1">
      <alignment horizontal="left" vertical="top" wrapText="1"/>
    </xf>
    <xf numFmtId="0" fontId="25" fillId="0" borderId="27" xfId="0" applyFont="1" applyBorder="1" applyAlignment="1">
      <alignment horizontal="left" vertical="top" wrapText="1"/>
    </xf>
    <xf numFmtId="0" fontId="25" fillId="0" borderId="30" xfId="0" applyFont="1" applyBorder="1" applyAlignment="1">
      <alignment horizontal="left" vertical="top" wrapText="1"/>
    </xf>
    <xf numFmtId="0" fontId="25" fillId="0" borderId="40" xfId="0" applyFont="1" applyBorder="1" applyAlignment="1">
      <alignment horizontal="left" vertical="top" wrapText="1"/>
    </xf>
    <xf numFmtId="164" fontId="27" fillId="3" borderId="5" xfId="0" applyNumberFormat="1" applyFont="1" applyFill="1" applyBorder="1" applyAlignment="1">
      <alignment horizontal="left" vertical="center"/>
    </xf>
    <xf numFmtId="164" fontId="27" fillId="3" borderId="6" xfId="0" applyNumberFormat="1" applyFont="1" applyFill="1" applyBorder="1" applyAlignment="1">
      <alignment horizontal="left" vertical="center"/>
    </xf>
    <xf numFmtId="164" fontId="27" fillId="3" borderId="7" xfId="0" applyNumberFormat="1" applyFont="1" applyFill="1" applyBorder="1" applyAlignment="1">
      <alignment horizontal="left" vertical="center"/>
    </xf>
    <xf numFmtId="164" fontId="30" fillId="3" borderId="5" xfId="0" applyNumberFormat="1" applyFont="1" applyFill="1" applyBorder="1" applyAlignment="1">
      <alignment horizontal="center" vertical="center" wrapText="1"/>
    </xf>
    <xf numFmtId="164" fontId="30" fillId="3" borderId="6" xfId="0" applyNumberFormat="1" applyFont="1" applyFill="1" applyBorder="1" applyAlignment="1">
      <alignment horizontal="center" vertical="center" wrapText="1"/>
    </xf>
    <xf numFmtId="164" fontId="30" fillId="3" borderId="7" xfId="0" applyNumberFormat="1" applyFont="1" applyFill="1" applyBorder="1" applyAlignment="1">
      <alignment horizontal="center" vertical="center" wrapText="1"/>
    </xf>
    <xf numFmtId="0" fontId="25" fillId="0" borderId="24" xfId="0" applyFont="1" applyBorder="1" applyAlignment="1">
      <alignment horizontal="left" vertical="top" wrapText="1"/>
    </xf>
    <xf numFmtId="0" fontId="25" fillId="0" borderId="25" xfId="0" applyFont="1" applyBorder="1" applyAlignment="1">
      <alignment horizontal="left" vertical="top" wrapText="1"/>
    </xf>
    <xf numFmtId="0" fontId="25" fillId="0" borderId="38" xfId="0" applyFont="1" applyBorder="1" applyAlignment="1">
      <alignment horizontal="left" vertical="top" wrapText="1"/>
    </xf>
    <xf numFmtId="0" fontId="25" fillId="0" borderId="26" xfId="0" applyFont="1" applyBorder="1" applyAlignment="1">
      <alignment horizontal="left" vertical="top" wrapText="1"/>
    </xf>
    <xf numFmtId="0" fontId="25" fillId="0" borderId="34" xfId="0" applyFont="1" applyBorder="1" applyAlignment="1">
      <alignment horizontal="left" vertical="top" wrapText="1"/>
    </xf>
    <xf numFmtId="0" fontId="25" fillId="0" borderId="62" xfId="0" applyFont="1" applyBorder="1" applyAlignment="1">
      <alignment horizontal="left" vertical="top" wrapText="1"/>
    </xf>
    <xf numFmtId="0" fontId="25" fillId="2" borderId="22" xfId="1" applyNumberFormat="1" applyFont="1" applyFill="1" applyBorder="1" applyAlignment="1" applyProtection="1">
      <alignment horizontal="left" vertical="top" wrapText="1"/>
    </xf>
    <xf numFmtId="0" fontId="25" fillId="2" borderId="23" xfId="1" applyNumberFormat="1" applyFont="1" applyFill="1" applyBorder="1" applyAlignment="1" applyProtection="1">
      <alignment horizontal="left" vertical="top" wrapText="1"/>
    </xf>
    <xf numFmtId="0" fontId="25" fillId="2" borderId="63" xfId="1" applyNumberFormat="1" applyFont="1" applyFill="1" applyBorder="1" applyAlignment="1" applyProtection="1">
      <alignment horizontal="left" vertical="top" wrapText="1"/>
    </xf>
    <xf numFmtId="0" fontId="25" fillId="0" borderId="2" xfId="0" applyFont="1" applyBorder="1" applyAlignment="1">
      <alignment horizontal="left" vertical="top" wrapText="1"/>
    </xf>
    <xf numFmtId="0" fontId="25" fillId="0" borderId="21" xfId="0" applyFont="1" applyBorder="1" applyAlignment="1">
      <alignment horizontal="left" vertical="top" wrapText="1"/>
    </xf>
    <xf numFmtId="0" fontId="25" fillId="0" borderId="39" xfId="0" applyFont="1" applyBorder="1" applyAlignment="1">
      <alignment horizontal="left" vertical="top" wrapText="1"/>
    </xf>
    <xf numFmtId="0" fontId="26" fillId="3" borderId="29" xfId="0" applyFont="1" applyFill="1" applyBorder="1" applyAlignment="1">
      <alignment horizontal="left" vertical="center" wrapText="1"/>
    </xf>
    <xf numFmtId="0" fontId="26" fillId="3" borderId="7" xfId="0" applyFont="1" applyFill="1" applyBorder="1" applyAlignment="1">
      <alignment horizontal="left" vertical="center" wrapText="1"/>
    </xf>
    <xf numFmtId="164" fontId="31" fillId="14" borderId="5" xfId="0" applyNumberFormat="1" applyFont="1" applyFill="1" applyBorder="1" applyAlignment="1">
      <alignment horizontal="center" vertical="center"/>
    </xf>
    <xf numFmtId="164" fontId="31" fillId="14" borderId="6" xfId="0" applyNumberFormat="1" applyFont="1" applyFill="1" applyBorder="1" applyAlignment="1">
      <alignment horizontal="center" vertical="center"/>
    </xf>
    <xf numFmtId="164" fontId="31" fillId="14" borderId="7" xfId="0" applyNumberFormat="1" applyFont="1" applyFill="1" applyBorder="1" applyAlignment="1">
      <alignment horizontal="center" vertical="center"/>
    </xf>
    <xf numFmtId="0" fontId="0" fillId="0" borderId="0" xfId="0" applyAlignment="1">
      <alignment horizontal="center" wrapText="1"/>
    </xf>
    <xf numFmtId="0" fontId="0" fillId="17" borderId="0" xfId="0" applyFill="1" applyAlignment="1">
      <alignment horizontal="center" vertical="top"/>
    </xf>
  </cellXfs>
  <cellStyles count="5">
    <cellStyle name="Currency" xfId="1" builtinId="4"/>
    <cellStyle name="Heading 3" xfId="3" builtinId="18"/>
    <cellStyle name="Hyperlink" xfId="4" builtinId="8"/>
    <cellStyle name="Normal" xfId="0" builtinId="0"/>
    <cellStyle name="Normal 2" xfId="2" xr:uid="{00000000-0005-0000-0000-000002000000}"/>
  </cellStyles>
  <dxfs count="30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66"/>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ProcurementServices\PSTm01(Quezada)\Auto\40524-23254%20Buses,School\ContractMgmt\NYBus%20add%20C-EV\4052423254PL_NYB_2025-03-04.xlsx" TargetMode="External"/><Relationship Id="rId1" Type="http://schemas.openxmlformats.org/officeDocument/2006/relationships/externalLinkPath" Target="file:///\\ogs-smb\ogs_shared\ProcurementServices\PSTm01(Quezada)\Auto\40524-23254%20Buses,School\ContractMgmt\NYBus%20add%20C-EV\4052423254PL_NYB_2025-03-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ttachment 1 - Summary"/>
      <sheetName val="A (Item 2-G)"/>
      <sheetName val="A (Item 3-G)"/>
      <sheetName val="A (Item 4-G)"/>
      <sheetName val="A (Item 4-EV)"/>
      <sheetName val="A (Item 5-G)"/>
      <sheetName val="A (Item 5-EV)"/>
      <sheetName val="C (Item 1-D)"/>
      <sheetName val="C (Item 1-EV) "/>
      <sheetName val="C (Item 2-D)"/>
      <sheetName val="C (Item 2-EV) "/>
      <sheetName val="C (Item 3-D)"/>
      <sheetName val="C (Item 4-D)"/>
      <sheetName val="C (Item 4-EV)"/>
      <sheetName val="D (Item 1-D)"/>
      <sheetName val="D (Item 2-D)"/>
      <sheetName val="D (Item 3-D)"/>
      <sheetName val="D (Item 4-D)"/>
      <sheetName val="D (Item 4-EV)"/>
      <sheetName val="D (Item 5-D)"/>
      <sheetName val="D (Item 5-EV)"/>
      <sheetName val="PPI Adj"/>
    </sheetNames>
    <sheetDataSet>
      <sheetData sheetId="0">
        <row r="2">
          <cell r="B2" t="str">
            <v>PC69864 New York Bus Sales, LLC</v>
          </cell>
        </row>
      </sheetData>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data.bls.gov/timeseries/WPU1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B1:G24"/>
  <sheetViews>
    <sheetView showGridLines="0" tabSelected="1" zoomScaleNormal="100" workbookViewId="0">
      <selection activeCell="B1" sqref="B1:G1"/>
    </sheetView>
  </sheetViews>
  <sheetFormatPr defaultColWidth="9.140625" defaultRowHeight="14.25" x14ac:dyDescent="0.25"/>
  <cols>
    <col min="1" max="1" width="2.5703125" style="6" customWidth="1"/>
    <col min="2" max="2" width="14.7109375" style="6" bestFit="1" customWidth="1"/>
    <col min="3" max="3" width="55.85546875" style="6" customWidth="1"/>
    <col min="4" max="4" width="31.7109375" style="6" customWidth="1"/>
    <col min="5" max="5" width="40.42578125" style="6" customWidth="1"/>
    <col min="6" max="6" width="13.5703125" style="6" customWidth="1"/>
    <col min="7" max="7" width="9.42578125" style="6" customWidth="1"/>
    <col min="8" max="16384" width="9.140625" style="6"/>
  </cols>
  <sheetData>
    <row r="1" spans="2:7" s="5" customFormat="1" ht="84" customHeight="1" x14ac:dyDescent="0.25">
      <c r="B1" s="322" t="s">
        <v>548</v>
      </c>
      <c r="C1" s="322"/>
      <c r="D1" s="322"/>
      <c r="E1" s="322"/>
      <c r="F1" s="322"/>
      <c r="G1" s="322"/>
    </row>
    <row r="2" spans="2:7" s="5" customFormat="1" ht="60" customHeight="1" x14ac:dyDescent="0.25">
      <c r="B2" s="322" t="s">
        <v>519</v>
      </c>
      <c r="C2" s="322"/>
      <c r="D2" s="322"/>
      <c r="E2" s="322"/>
      <c r="F2" s="322"/>
      <c r="G2" s="322"/>
    </row>
    <row r="3" spans="2:7" s="19" customFormat="1" ht="55.5" customHeight="1" x14ac:dyDescent="0.25">
      <c r="B3" s="327" t="s">
        <v>199</v>
      </c>
      <c r="C3" s="327"/>
      <c r="D3" s="327"/>
      <c r="E3" s="327"/>
      <c r="F3" s="327"/>
      <c r="G3" s="327"/>
    </row>
    <row r="4" spans="2:7" s="7" customFormat="1" ht="33.75" customHeight="1" thickBot="1" x14ac:dyDescent="0.3">
      <c r="B4" s="323" t="s">
        <v>15</v>
      </c>
      <c r="C4" s="323"/>
      <c r="D4" s="15"/>
      <c r="E4" s="15"/>
      <c r="F4" s="15"/>
      <c r="G4" s="15"/>
    </row>
    <row r="5" spans="2:7" ht="36" customHeight="1" thickBot="1" x14ac:dyDescent="0.3">
      <c r="B5" s="20" t="s">
        <v>182</v>
      </c>
      <c r="C5" s="21" t="s">
        <v>149</v>
      </c>
      <c r="D5" s="21" t="s">
        <v>178</v>
      </c>
      <c r="E5" s="69" t="s">
        <v>233</v>
      </c>
      <c r="F5" s="22" t="s">
        <v>18</v>
      </c>
      <c r="G5" s="22" t="s">
        <v>121</v>
      </c>
    </row>
    <row r="6" spans="2:7" s="4" customFormat="1" ht="26.25" thickBot="1" x14ac:dyDescent="0.3">
      <c r="B6" s="70" t="s">
        <v>231</v>
      </c>
      <c r="C6" s="324" t="s">
        <v>232</v>
      </c>
      <c r="D6" s="325"/>
      <c r="E6" s="325"/>
      <c r="F6" s="325"/>
      <c r="G6" s="326"/>
    </row>
    <row r="7" spans="2:7" s="4" customFormat="1" ht="102" customHeight="1" thickTop="1" x14ac:dyDescent="0.25">
      <c r="B7" s="71" t="s">
        <v>287</v>
      </c>
      <c r="C7" s="67" t="s">
        <v>293</v>
      </c>
      <c r="D7" s="68" t="s">
        <v>17</v>
      </c>
      <c r="E7" s="73" t="s">
        <v>520</v>
      </c>
      <c r="F7" s="67" t="s">
        <v>288</v>
      </c>
      <c r="G7" s="79"/>
    </row>
    <row r="8" spans="2:7" s="4" customFormat="1" ht="102" x14ac:dyDescent="0.25">
      <c r="B8" s="71" t="s">
        <v>286</v>
      </c>
      <c r="C8" s="81" t="s">
        <v>292</v>
      </c>
      <c r="D8" s="68" t="s">
        <v>17</v>
      </c>
      <c r="E8" s="73" t="s">
        <v>520</v>
      </c>
      <c r="F8" s="67" t="s">
        <v>283</v>
      </c>
      <c r="G8" s="80"/>
    </row>
    <row r="9" spans="2:7" s="4" customFormat="1" ht="102" x14ac:dyDescent="0.25">
      <c r="B9" s="71" t="s">
        <v>284</v>
      </c>
      <c r="C9" s="67" t="s">
        <v>291</v>
      </c>
      <c r="D9" s="68" t="s">
        <v>17</v>
      </c>
      <c r="E9" s="73" t="s">
        <v>520</v>
      </c>
      <c r="F9" s="67" t="s">
        <v>66</v>
      </c>
      <c r="G9" s="79"/>
    </row>
    <row r="10" spans="2:7" s="4" customFormat="1" ht="102" x14ac:dyDescent="0.25">
      <c r="B10" s="71" t="s">
        <v>281</v>
      </c>
      <c r="C10" s="67" t="s">
        <v>282</v>
      </c>
      <c r="D10" s="68" t="s">
        <v>184</v>
      </c>
      <c r="E10" s="73" t="s">
        <v>520</v>
      </c>
      <c r="F10" s="67" t="s">
        <v>66</v>
      </c>
      <c r="G10" s="79"/>
    </row>
    <row r="11" spans="2:7" s="4" customFormat="1" ht="102" x14ac:dyDescent="0.25">
      <c r="B11" s="71" t="s">
        <v>285</v>
      </c>
      <c r="C11" s="67" t="s">
        <v>290</v>
      </c>
      <c r="D11" s="68" t="s">
        <v>326</v>
      </c>
      <c r="E11" s="73" t="s">
        <v>520</v>
      </c>
      <c r="F11" s="67" t="s">
        <v>289</v>
      </c>
      <c r="G11" s="79"/>
    </row>
    <row r="12" spans="2:7" s="4" customFormat="1" ht="102" x14ac:dyDescent="0.25">
      <c r="B12" s="71" t="s">
        <v>308</v>
      </c>
      <c r="C12" s="67" t="s">
        <v>325</v>
      </c>
      <c r="D12" s="68" t="s">
        <v>184</v>
      </c>
      <c r="E12" s="73" t="s">
        <v>520</v>
      </c>
      <c r="F12" s="67" t="s">
        <v>289</v>
      </c>
      <c r="G12" s="79"/>
    </row>
    <row r="13" spans="2:7" s="4" customFormat="1" ht="102" x14ac:dyDescent="0.25">
      <c r="B13" s="71" t="s">
        <v>234</v>
      </c>
      <c r="C13" s="67" t="s">
        <v>235</v>
      </c>
      <c r="D13" s="68" t="s">
        <v>239</v>
      </c>
      <c r="E13" s="73" t="s">
        <v>520</v>
      </c>
      <c r="F13" s="67" t="s">
        <v>66</v>
      </c>
      <c r="G13" s="72"/>
    </row>
    <row r="14" spans="2:7" s="4" customFormat="1" ht="102" x14ac:dyDescent="0.25">
      <c r="B14" s="71" t="s">
        <v>236</v>
      </c>
      <c r="C14" s="67" t="s">
        <v>237</v>
      </c>
      <c r="D14" s="68" t="s">
        <v>239</v>
      </c>
      <c r="E14" s="73" t="s">
        <v>520</v>
      </c>
      <c r="F14" s="67" t="s">
        <v>238</v>
      </c>
      <c r="G14" s="74"/>
    </row>
    <row r="15" spans="2:7" ht="102" x14ac:dyDescent="0.25">
      <c r="B15" s="71" t="s">
        <v>240</v>
      </c>
      <c r="C15" s="67" t="s">
        <v>243</v>
      </c>
      <c r="D15" s="68" t="s">
        <v>239</v>
      </c>
      <c r="E15" s="73" t="s">
        <v>520</v>
      </c>
      <c r="F15" s="67" t="s">
        <v>241</v>
      </c>
      <c r="G15" s="74"/>
    </row>
    <row r="16" spans="2:7" ht="102" x14ac:dyDescent="0.25">
      <c r="B16" s="71" t="s">
        <v>242</v>
      </c>
      <c r="C16" s="67" t="s">
        <v>244</v>
      </c>
      <c r="D16" s="68" t="s">
        <v>239</v>
      </c>
      <c r="E16" s="73" t="s">
        <v>520</v>
      </c>
      <c r="F16" s="67" t="s">
        <v>245</v>
      </c>
      <c r="G16" s="82"/>
    </row>
    <row r="17" spans="2:7" ht="102" x14ac:dyDescent="0.25">
      <c r="B17" s="71" t="s">
        <v>246</v>
      </c>
      <c r="C17" s="67" t="s">
        <v>247</v>
      </c>
      <c r="D17" s="68" t="s">
        <v>184</v>
      </c>
      <c r="E17" s="73" t="s">
        <v>520</v>
      </c>
      <c r="F17" s="67" t="s">
        <v>245</v>
      </c>
      <c r="G17" s="74"/>
    </row>
    <row r="18" spans="2:7" ht="102" x14ac:dyDescent="0.25">
      <c r="B18" s="71" t="s">
        <v>310</v>
      </c>
      <c r="C18" s="67" t="s">
        <v>309</v>
      </c>
      <c r="D18" s="68" t="s">
        <v>19</v>
      </c>
      <c r="E18" s="73" t="s">
        <v>520</v>
      </c>
      <c r="F18" s="67" t="s">
        <v>66</v>
      </c>
      <c r="G18" s="84"/>
    </row>
    <row r="19" spans="2:7" ht="102" x14ac:dyDescent="0.25">
      <c r="B19" s="71" t="s">
        <v>311</v>
      </c>
      <c r="C19" s="67" t="s">
        <v>319</v>
      </c>
      <c r="D19" s="68" t="s">
        <v>19</v>
      </c>
      <c r="E19" s="73" t="s">
        <v>520</v>
      </c>
      <c r="F19" s="67" t="s">
        <v>317</v>
      </c>
      <c r="G19" s="85"/>
    </row>
    <row r="20" spans="2:7" ht="102" x14ac:dyDescent="0.25">
      <c r="B20" s="71" t="s">
        <v>312</v>
      </c>
      <c r="C20" s="67" t="s">
        <v>320</v>
      </c>
      <c r="D20" s="68" t="s">
        <v>19</v>
      </c>
      <c r="E20" s="73" t="s">
        <v>520</v>
      </c>
      <c r="F20" s="67" t="s">
        <v>294</v>
      </c>
      <c r="G20" s="84"/>
    </row>
    <row r="21" spans="2:7" ht="102" x14ac:dyDescent="0.25">
      <c r="B21" s="71" t="s">
        <v>313</v>
      </c>
      <c r="C21" s="67" t="s">
        <v>321</v>
      </c>
      <c r="D21" s="68" t="s">
        <v>19</v>
      </c>
      <c r="E21" s="73" t="s">
        <v>520</v>
      </c>
      <c r="F21" s="67" t="s">
        <v>66</v>
      </c>
      <c r="G21" s="85"/>
    </row>
    <row r="22" spans="2:7" ht="102" x14ac:dyDescent="0.25">
      <c r="B22" s="71" t="s">
        <v>314</v>
      </c>
      <c r="C22" s="67" t="s">
        <v>322</v>
      </c>
      <c r="D22" s="68" t="s">
        <v>184</v>
      </c>
      <c r="E22" s="73" t="s">
        <v>520</v>
      </c>
      <c r="F22" s="67" t="s">
        <v>66</v>
      </c>
      <c r="G22" s="84"/>
    </row>
    <row r="23" spans="2:7" ht="102" x14ac:dyDescent="0.25">
      <c r="B23" s="71" t="s">
        <v>315</v>
      </c>
      <c r="C23" s="67" t="s">
        <v>323</v>
      </c>
      <c r="D23" s="68" t="s">
        <v>19</v>
      </c>
      <c r="E23" s="73" t="s">
        <v>520</v>
      </c>
      <c r="F23" s="67" t="s">
        <v>318</v>
      </c>
      <c r="G23" s="132"/>
    </row>
    <row r="24" spans="2:7" ht="102.75" thickBot="1" x14ac:dyDescent="0.3">
      <c r="B24" s="76" t="s">
        <v>316</v>
      </c>
      <c r="C24" s="77" t="s">
        <v>324</v>
      </c>
      <c r="D24" s="78" t="s">
        <v>184</v>
      </c>
      <c r="E24" s="164" t="s">
        <v>520</v>
      </c>
      <c r="F24" s="77" t="s">
        <v>318</v>
      </c>
      <c r="G24" s="83"/>
    </row>
  </sheetData>
  <sheetProtection algorithmName="SHA-512" hashValue="nhQNejyCUyyd+Rzm/HpO5fc7+9GaD6ckyObaLeA2rB9IRh8JLUp4sG784iCB1zyPThs8crago6MRYxMzbJdyxg==" saltValue="eanxifaIlwbVkcA4aNly8A==" spinCount="100000" sheet="1" objects="1" scenarios="1"/>
  <mergeCells count="5">
    <mergeCell ref="B1:G1"/>
    <mergeCell ref="B4:C4"/>
    <mergeCell ref="C6:G6"/>
    <mergeCell ref="B2:G2"/>
    <mergeCell ref="B3:G3"/>
  </mergeCells>
  <phoneticPr fontId="22" type="noConversion"/>
  <pageMargins left="0.5" right="0.5" top="0.75" bottom="0.25" header="0.3" footer="0.3"/>
  <pageSetup scale="6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112300-BE50-4A75-A16F-65CD259522AB}">
  <sheetPr>
    <tabColor rgb="FFCC66FF"/>
    <pageSetUpPr autoPageBreaks="0" fitToPage="1"/>
  </sheetPr>
  <dimension ref="A1:G128"/>
  <sheetViews>
    <sheetView showGridLines="0" zoomScaleNormal="100" zoomScaleSheetLayoutView="100" workbookViewId="0">
      <selection activeCell="F21" sqref="F21"/>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42578125" style="187" bestFit="1" customWidth="1"/>
    <col min="7" max="7" width="1.5703125" style="2" customWidth="1"/>
    <col min="8" max="16384" width="9.140625" style="2"/>
  </cols>
  <sheetData>
    <row r="1" spans="1:7" customFormat="1" ht="15" x14ac:dyDescent="0.25">
      <c r="A1" s="165" t="s">
        <v>547</v>
      </c>
      <c r="B1" s="2"/>
      <c r="C1" s="2"/>
      <c r="D1" s="2"/>
      <c r="E1" s="2"/>
      <c r="F1" s="210"/>
      <c r="G1" s="2"/>
    </row>
    <row r="2" spans="1:7" customFormat="1" ht="15.75" thickBot="1" x14ac:dyDescent="0.3">
      <c r="A2" s="316" t="s">
        <v>519</v>
      </c>
      <c r="B2" s="26"/>
      <c r="C2" s="26"/>
      <c r="D2" s="26"/>
      <c r="F2" s="287"/>
    </row>
    <row r="3" spans="1:7" ht="24" thickBot="1" x14ac:dyDescent="0.25">
      <c r="A3" s="340" t="s">
        <v>102</v>
      </c>
      <c r="B3" s="341"/>
      <c r="C3" s="341"/>
      <c r="D3" s="342"/>
      <c r="E3" s="9"/>
      <c r="F3" s="312"/>
      <c r="G3" s="9"/>
    </row>
    <row r="4" spans="1:7" ht="51" customHeight="1" thickBot="1" x14ac:dyDescent="0.25">
      <c r="A4" s="343" t="s">
        <v>120</v>
      </c>
      <c r="B4" s="344"/>
      <c r="C4" s="344"/>
      <c r="D4" s="345"/>
      <c r="E4" s="9"/>
      <c r="F4" s="312"/>
      <c r="G4" s="9"/>
    </row>
    <row r="5" spans="1:7" s="4" customFormat="1" ht="11.25" customHeight="1" thickBot="1" x14ac:dyDescent="0.3">
      <c r="A5" s="57"/>
      <c r="B5" s="57"/>
      <c r="C5" s="57"/>
      <c r="D5" s="57"/>
      <c r="E5" s="57"/>
      <c r="F5" s="313"/>
      <c r="G5" s="57"/>
    </row>
    <row r="6" spans="1:7" s="8" customFormat="1" ht="32.25" thickBot="1" x14ac:dyDescent="0.25">
      <c r="A6" s="346" t="s">
        <v>151</v>
      </c>
      <c r="B6" s="347"/>
      <c r="C6" s="347"/>
      <c r="D6" s="348"/>
      <c r="E6" s="36"/>
      <c r="F6" s="196" t="s">
        <v>387</v>
      </c>
      <c r="G6" s="36"/>
    </row>
    <row r="7" spans="1:7" s="4" customFormat="1" ht="15" customHeight="1" thickBot="1" x14ac:dyDescent="0.3">
      <c r="A7" s="41" t="s">
        <v>6</v>
      </c>
      <c r="B7" s="27" t="s">
        <v>165</v>
      </c>
      <c r="C7" s="32"/>
      <c r="D7" s="40"/>
      <c r="E7" s="37"/>
      <c r="F7" s="188" t="s">
        <v>17</v>
      </c>
      <c r="G7" s="37"/>
    </row>
    <row r="8" spans="1:7" ht="52.5" thickTop="1" thickBot="1" x14ac:dyDescent="0.25">
      <c r="A8" s="42" t="s">
        <v>9</v>
      </c>
      <c r="B8" s="337" t="s">
        <v>152</v>
      </c>
      <c r="C8" s="338"/>
      <c r="D8" s="339"/>
      <c r="E8" s="13"/>
      <c r="F8" s="167" t="s">
        <v>327</v>
      </c>
      <c r="G8" s="13"/>
    </row>
    <row r="9" spans="1:7" s="8" customFormat="1" ht="44.25" customHeight="1" thickTop="1" thickBot="1" x14ac:dyDescent="0.25">
      <c r="A9" s="42" t="s">
        <v>136</v>
      </c>
      <c r="B9" s="337" t="s">
        <v>191</v>
      </c>
      <c r="C9" s="338"/>
      <c r="D9" s="339"/>
      <c r="E9" s="13"/>
      <c r="F9" s="167" t="s">
        <v>328</v>
      </c>
      <c r="G9" s="13"/>
    </row>
    <row r="10" spans="1:7" ht="12.75" customHeight="1" thickTop="1" x14ac:dyDescent="0.2">
      <c r="A10" s="43" t="s">
        <v>0</v>
      </c>
      <c r="B10" s="328" t="s">
        <v>154</v>
      </c>
      <c r="C10" s="329"/>
      <c r="D10" s="330"/>
      <c r="E10" s="13"/>
      <c r="F10" s="169" t="s">
        <v>329</v>
      </c>
      <c r="G10" s="13"/>
    </row>
    <row r="11" spans="1:7" x14ac:dyDescent="0.2">
      <c r="A11" s="43" t="s">
        <v>1</v>
      </c>
      <c r="B11" s="328" t="s">
        <v>153</v>
      </c>
      <c r="C11" s="329"/>
      <c r="D11" s="330"/>
      <c r="E11" s="13"/>
      <c r="F11" s="169">
        <v>3500</v>
      </c>
      <c r="G11" s="13"/>
    </row>
    <row r="12" spans="1:7" ht="14.1" customHeight="1" thickBot="1" x14ac:dyDescent="0.25">
      <c r="A12" s="44" t="s">
        <v>2</v>
      </c>
      <c r="B12" s="331" t="s">
        <v>155</v>
      </c>
      <c r="C12" s="332"/>
      <c r="D12" s="333"/>
      <c r="E12" s="13"/>
      <c r="F12" s="170" t="s">
        <v>330</v>
      </c>
      <c r="G12" s="13"/>
    </row>
    <row r="13" spans="1:7" ht="13.5" thickTop="1" x14ac:dyDescent="0.2">
      <c r="A13" s="43" t="s">
        <v>3</v>
      </c>
      <c r="B13" s="328" t="s">
        <v>157</v>
      </c>
      <c r="C13" s="329"/>
      <c r="D13" s="330"/>
      <c r="E13" s="13"/>
      <c r="F13" s="169" t="s">
        <v>331</v>
      </c>
      <c r="G13" s="13"/>
    </row>
    <row r="14" spans="1:7" x14ac:dyDescent="0.2">
      <c r="A14" s="43" t="s">
        <v>4</v>
      </c>
      <c r="B14" s="328" t="s">
        <v>156</v>
      </c>
      <c r="C14" s="329"/>
      <c r="D14" s="330"/>
      <c r="E14" s="13"/>
      <c r="F14" s="169" t="s">
        <v>332</v>
      </c>
      <c r="G14" s="13"/>
    </row>
    <row r="15" spans="1:7" ht="15.75" customHeight="1" thickBot="1" x14ac:dyDescent="0.25">
      <c r="A15" s="45" t="s">
        <v>5</v>
      </c>
      <c r="B15" s="331" t="s">
        <v>158</v>
      </c>
      <c r="C15" s="332"/>
      <c r="D15" s="333"/>
      <c r="E15" s="13"/>
      <c r="F15" s="172" t="s">
        <v>333</v>
      </c>
      <c r="G15" s="13"/>
    </row>
    <row r="16" spans="1:7" ht="26.4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32.25" thickBot="1" x14ac:dyDescent="0.25">
      <c r="A19" s="346" t="s">
        <v>150</v>
      </c>
      <c r="B19" s="347"/>
      <c r="C19" s="347"/>
      <c r="D19" s="348"/>
      <c r="E19" s="36"/>
      <c r="F19" s="196" t="s">
        <v>387</v>
      </c>
      <c r="G19" s="36"/>
    </row>
    <row r="20" spans="1:7" s="4" customFormat="1" ht="15" customHeight="1" thickBot="1" x14ac:dyDescent="0.3">
      <c r="A20" s="55" t="s">
        <v>6</v>
      </c>
      <c r="B20" s="31" t="s">
        <v>165</v>
      </c>
      <c r="C20" s="33"/>
      <c r="D20" s="48"/>
      <c r="E20" s="37"/>
      <c r="F20" s="188" t="s">
        <v>17</v>
      </c>
      <c r="G20" s="37"/>
    </row>
    <row r="21" spans="1:7" ht="56.25" customHeight="1" x14ac:dyDescent="0.2">
      <c r="A21" s="46" t="s">
        <v>42</v>
      </c>
      <c r="B21" s="349" t="s">
        <v>161</v>
      </c>
      <c r="C21" s="350"/>
      <c r="D21" s="351"/>
      <c r="E21" s="13"/>
      <c r="F21" s="197">
        <f>72900*('PPI Adj'!D6)</f>
        <v>85074.3</v>
      </c>
      <c r="G21" s="13"/>
    </row>
    <row r="22" spans="1:7" ht="42.75" customHeight="1" x14ac:dyDescent="0.2">
      <c r="A22" s="43" t="s">
        <v>20</v>
      </c>
      <c r="B22" s="328" t="s">
        <v>162</v>
      </c>
      <c r="C22" s="329"/>
      <c r="D22" s="330"/>
      <c r="E22" s="13"/>
      <c r="F22" s="198" t="s">
        <v>181</v>
      </c>
      <c r="G22" s="13"/>
    </row>
    <row r="23" spans="1:7" ht="28.5" customHeight="1" thickBot="1" x14ac:dyDescent="0.25">
      <c r="A23" s="47" t="s">
        <v>41</v>
      </c>
      <c r="B23" s="370" t="s">
        <v>163</v>
      </c>
      <c r="C23" s="371"/>
      <c r="D23" s="372"/>
      <c r="E23" s="1"/>
      <c r="F23" s="179">
        <v>12</v>
      </c>
      <c r="G23" s="1"/>
    </row>
    <row r="24" spans="1:7" ht="13.5" thickBot="1" x14ac:dyDescent="0.25">
      <c r="A24" s="58"/>
      <c r="B24" s="1"/>
      <c r="C24" s="1"/>
      <c r="D24" s="1"/>
      <c r="E24" s="1"/>
      <c r="F24" s="180"/>
      <c r="G24" s="1"/>
    </row>
    <row r="25" spans="1:7" s="8" customFormat="1" ht="32.25" thickBot="1" x14ac:dyDescent="0.25">
      <c r="A25" s="373" t="s">
        <v>164</v>
      </c>
      <c r="B25" s="374"/>
      <c r="C25" s="374"/>
      <c r="D25" s="375"/>
      <c r="E25" s="38"/>
      <c r="F25" s="196" t="s">
        <v>387</v>
      </c>
      <c r="G25" s="38"/>
    </row>
    <row r="26" spans="1:7" s="3" customFormat="1" ht="15" customHeight="1" thickBot="1" x14ac:dyDescent="0.3">
      <c r="A26" s="55" t="s">
        <v>6</v>
      </c>
      <c r="B26" s="56" t="s">
        <v>7</v>
      </c>
      <c r="C26" s="376" t="s">
        <v>165</v>
      </c>
      <c r="D26" s="377"/>
      <c r="E26" s="39"/>
      <c r="F26" s="188" t="s">
        <v>17</v>
      </c>
      <c r="G26" s="39"/>
    </row>
    <row r="27" spans="1:7" s="13" customFormat="1" ht="28.5" customHeight="1" thickBot="1" x14ac:dyDescent="0.3">
      <c r="A27" s="49" t="s">
        <v>8</v>
      </c>
      <c r="B27" s="29" t="s">
        <v>141</v>
      </c>
      <c r="C27" s="352" t="s">
        <v>118</v>
      </c>
      <c r="D27" s="353"/>
      <c r="E27" s="34"/>
      <c r="F27" s="184">
        <v>9900</v>
      </c>
      <c r="G27" s="34"/>
    </row>
    <row r="28" spans="1:7" s="13" customFormat="1" x14ac:dyDescent="0.25">
      <c r="A28" s="354" t="s">
        <v>21</v>
      </c>
      <c r="B28" s="356" t="s">
        <v>89</v>
      </c>
      <c r="C28" s="358" t="s">
        <v>67</v>
      </c>
      <c r="D28" s="359"/>
      <c r="E28" s="34"/>
      <c r="F28" s="183">
        <v>4</v>
      </c>
      <c r="G28" s="34"/>
    </row>
    <row r="29" spans="1:7" s="13" customFormat="1" ht="13.5" thickBot="1" x14ac:dyDescent="0.3">
      <c r="A29" s="355"/>
      <c r="B29" s="357"/>
      <c r="C29" s="352" t="s">
        <v>68</v>
      </c>
      <c r="D29" s="353"/>
      <c r="E29" s="34"/>
      <c r="F29" s="174">
        <v>16</v>
      </c>
      <c r="G29" s="34"/>
    </row>
    <row r="30" spans="1:7" s="13" customFormat="1" ht="15.95" customHeight="1" thickBot="1" x14ac:dyDescent="0.3">
      <c r="A30" s="50" t="s">
        <v>123</v>
      </c>
      <c r="B30" s="30" t="s">
        <v>119</v>
      </c>
      <c r="C30" s="368"/>
      <c r="D30" s="369"/>
      <c r="E30" s="35"/>
      <c r="F30" s="184"/>
      <c r="G30" s="35"/>
    </row>
    <row r="31" spans="1:7" s="13" customFormat="1" x14ac:dyDescent="0.25">
      <c r="A31" s="354" t="s">
        <v>59</v>
      </c>
      <c r="B31" s="356"/>
      <c r="C31" s="358" t="s">
        <v>58</v>
      </c>
      <c r="D31" s="359"/>
      <c r="E31" s="34"/>
      <c r="F31" s="183">
        <v>139</v>
      </c>
      <c r="G31" s="34"/>
    </row>
    <row r="32" spans="1:7" s="13" customFormat="1" x14ac:dyDescent="0.25">
      <c r="A32" s="362"/>
      <c r="B32" s="363"/>
      <c r="C32" s="364" t="s">
        <v>57</v>
      </c>
      <c r="D32" s="365"/>
      <c r="E32" s="34"/>
      <c r="F32" s="169">
        <v>234</v>
      </c>
      <c r="G32" s="34"/>
    </row>
    <row r="33" spans="1:7" s="13" customFormat="1" x14ac:dyDescent="0.25">
      <c r="A33" s="362"/>
      <c r="B33" s="363"/>
      <c r="C33" s="364" t="s">
        <v>69</v>
      </c>
      <c r="D33" s="365"/>
      <c r="E33" s="34"/>
      <c r="F33" s="169">
        <v>82</v>
      </c>
      <c r="G33" s="34"/>
    </row>
    <row r="34" spans="1:7" s="13" customFormat="1" x14ac:dyDescent="0.25">
      <c r="A34" s="362"/>
      <c r="B34" s="363"/>
      <c r="C34" s="366" t="s">
        <v>70</v>
      </c>
      <c r="D34" s="367"/>
      <c r="E34" s="34"/>
      <c r="F34" s="169">
        <v>66</v>
      </c>
      <c r="G34" s="34"/>
    </row>
    <row r="35" spans="1:7" s="13" customFormat="1" ht="14.45" customHeight="1" thickBot="1" x14ac:dyDescent="0.3">
      <c r="A35" s="355"/>
      <c r="B35" s="357"/>
      <c r="C35" s="352" t="s">
        <v>111</v>
      </c>
      <c r="D35" s="353"/>
      <c r="E35" s="34"/>
      <c r="F35" s="174">
        <v>80</v>
      </c>
      <c r="G35" s="34"/>
    </row>
    <row r="36" spans="1:7" s="13" customFormat="1" x14ac:dyDescent="0.25">
      <c r="A36" s="354" t="s">
        <v>11</v>
      </c>
      <c r="B36" s="356"/>
      <c r="C36" s="358" t="s">
        <v>24</v>
      </c>
      <c r="D36" s="359"/>
      <c r="E36" s="34"/>
      <c r="F36" s="183">
        <v>4100</v>
      </c>
      <c r="G36" s="34"/>
    </row>
    <row r="37" spans="1:7" s="13" customFormat="1" ht="15.95" customHeight="1" thickBot="1" x14ac:dyDescent="0.3">
      <c r="A37" s="355"/>
      <c r="B37" s="357"/>
      <c r="C37" s="352" t="s">
        <v>22</v>
      </c>
      <c r="D37" s="353"/>
      <c r="E37" s="34"/>
      <c r="F37" s="174">
        <v>4100</v>
      </c>
      <c r="G37" s="34"/>
    </row>
    <row r="38" spans="1:7" s="13" customFormat="1" x14ac:dyDescent="0.25">
      <c r="A38" s="354" t="s">
        <v>16</v>
      </c>
      <c r="B38" s="356"/>
      <c r="C38" s="358" t="s">
        <v>24</v>
      </c>
      <c r="D38" s="359"/>
      <c r="E38" s="34"/>
      <c r="F38" s="183">
        <v>6084</v>
      </c>
      <c r="G38" s="34"/>
    </row>
    <row r="39" spans="1:7" s="13" customFormat="1" ht="13.5" thickBot="1" x14ac:dyDescent="0.3">
      <c r="A39" s="355"/>
      <c r="B39" s="357"/>
      <c r="C39" s="360" t="s">
        <v>23</v>
      </c>
      <c r="D39" s="361"/>
      <c r="E39" s="34"/>
      <c r="F39" s="174">
        <v>6084</v>
      </c>
      <c r="G39" s="34"/>
    </row>
    <row r="40" spans="1:7" s="13" customFormat="1" ht="15.95" customHeight="1" thickBot="1" x14ac:dyDescent="0.3">
      <c r="A40" s="50" t="s">
        <v>52</v>
      </c>
      <c r="B40" s="30" t="s">
        <v>53</v>
      </c>
      <c r="C40" s="368"/>
      <c r="D40" s="369"/>
      <c r="E40" s="35"/>
      <c r="F40" s="184"/>
      <c r="G40" s="35"/>
    </row>
    <row r="41" spans="1:7" s="13" customFormat="1" ht="13.5" customHeight="1" thickBot="1" x14ac:dyDescent="0.3">
      <c r="A41" s="378" t="s">
        <v>12</v>
      </c>
      <c r="B41" s="379" t="s">
        <v>142</v>
      </c>
      <c r="C41" s="358" t="s">
        <v>174</v>
      </c>
      <c r="D41" s="359"/>
      <c r="E41" s="34"/>
      <c r="F41" s="183" t="s">
        <v>335</v>
      </c>
      <c r="G41" s="34"/>
    </row>
    <row r="42" spans="1:7" s="13" customFormat="1" ht="13.5" customHeight="1" thickBot="1" x14ac:dyDescent="0.3">
      <c r="A42" s="378"/>
      <c r="B42" s="379"/>
      <c r="C42" s="364" t="s">
        <v>175</v>
      </c>
      <c r="D42" s="365"/>
      <c r="E42" s="34"/>
      <c r="F42" s="169">
        <v>3042</v>
      </c>
      <c r="G42" s="34"/>
    </row>
    <row r="43" spans="1:7" s="13" customFormat="1" ht="13.5" customHeight="1" thickBot="1" x14ac:dyDescent="0.3">
      <c r="A43" s="378"/>
      <c r="B43" s="379"/>
      <c r="C43" s="364" t="s">
        <v>176</v>
      </c>
      <c r="D43" s="365"/>
      <c r="E43" s="34"/>
      <c r="F43" s="185" t="s">
        <v>335</v>
      </c>
      <c r="G43" s="34"/>
    </row>
    <row r="44" spans="1:7" s="13" customFormat="1" ht="13.5" customHeight="1" thickBot="1" x14ac:dyDescent="0.3">
      <c r="A44" s="378"/>
      <c r="B44" s="379"/>
      <c r="C44" s="364" t="s">
        <v>177</v>
      </c>
      <c r="D44" s="365"/>
      <c r="E44" s="34"/>
      <c r="F44" s="169">
        <v>3042</v>
      </c>
      <c r="G44" s="34"/>
    </row>
    <row r="45" spans="1:7" s="13" customFormat="1" ht="13.5" customHeight="1" thickBot="1" x14ac:dyDescent="0.3">
      <c r="A45" s="378"/>
      <c r="B45" s="379"/>
      <c r="C45" s="364" t="s">
        <v>112</v>
      </c>
      <c r="D45" s="365"/>
      <c r="E45" s="34"/>
      <c r="F45" s="169" t="s">
        <v>336</v>
      </c>
      <c r="G45" s="34"/>
    </row>
    <row r="46" spans="1:7" s="13" customFormat="1" ht="13.5" customHeight="1" thickBot="1" x14ac:dyDescent="0.3">
      <c r="A46" s="378"/>
      <c r="B46" s="379"/>
      <c r="C46" s="364" t="s">
        <v>113</v>
      </c>
      <c r="D46" s="365"/>
      <c r="E46" s="34"/>
      <c r="F46" s="169" t="s">
        <v>337</v>
      </c>
      <c r="G46" s="34"/>
    </row>
    <row r="47" spans="1:7" s="13" customFormat="1" ht="13.5" customHeight="1" thickBot="1" x14ac:dyDescent="0.3">
      <c r="A47" s="378"/>
      <c r="B47" s="379"/>
      <c r="C47" s="366" t="s">
        <v>114</v>
      </c>
      <c r="D47" s="367"/>
      <c r="E47" s="34"/>
      <c r="F47" s="169" t="s">
        <v>338</v>
      </c>
      <c r="G47" s="34"/>
    </row>
    <row r="48" spans="1:7" s="13" customFormat="1" ht="15" customHeight="1" thickBot="1" x14ac:dyDescent="0.3">
      <c r="A48" s="378"/>
      <c r="B48" s="379"/>
      <c r="C48" s="352" t="s">
        <v>115</v>
      </c>
      <c r="D48" s="353"/>
      <c r="E48" s="34"/>
      <c r="F48" s="174" t="s">
        <v>337</v>
      </c>
      <c r="G48" s="34"/>
    </row>
    <row r="49" spans="1:7" s="13" customFormat="1" ht="14.45" customHeight="1" x14ac:dyDescent="0.25">
      <c r="A49" s="354" t="s">
        <v>10</v>
      </c>
      <c r="B49" s="356" t="s">
        <v>62</v>
      </c>
      <c r="C49" s="358" t="s">
        <v>116</v>
      </c>
      <c r="D49" s="359"/>
      <c r="E49" s="34"/>
      <c r="F49" s="183">
        <v>8</v>
      </c>
      <c r="G49" s="34"/>
    </row>
    <row r="50" spans="1:7" s="13" customFormat="1" x14ac:dyDescent="0.25">
      <c r="A50" s="362"/>
      <c r="B50" s="363"/>
      <c r="C50" s="364" t="s">
        <v>117</v>
      </c>
      <c r="D50" s="365"/>
      <c r="E50" s="34"/>
      <c r="F50" s="169" t="s">
        <v>339</v>
      </c>
      <c r="G50" s="34"/>
    </row>
    <row r="51" spans="1:7" s="13" customFormat="1" ht="13.5" thickBot="1" x14ac:dyDescent="0.3">
      <c r="A51" s="362"/>
      <c r="B51" s="363"/>
      <c r="C51" s="360" t="s">
        <v>71</v>
      </c>
      <c r="D51" s="361"/>
      <c r="E51" s="34"/>
      <c r="F51" s="171" t="s">
        <v>340</v>
      </c>
      <c r="G51" s="34"/>
    </row>
    <row r="52" spans="1:7" s="13" customFormat="1" ht="80.099999999999994" customHeight="1" thickBot="1" x14ac:dyDescent="0.3">
      <c r="A52" s="51" t="s">
        <v>9</v>
      </c>
      <c r="B52" s="28" t="s">
        <v>140</v>
      </c>
      <c r="C52" s="366"/>
      <c r="D52" s="367"/>
      <c r="E52" s="34"/>
      <c r="F52" s="183"/>
      <c r="G52" s="34"/>
    </row>
    <row r="53" spans="1:7" s="13" customFormat="1" x14ac:dyDescent="0.25">
      <c r="A53" s="354" t="s">
        <v>25</v>
      </c>
      <c r="B53" s="356" t="s">
        <v>93</v>
      </c>
      <c r="C53" s="358" t="s">
        <v>72</v>
      </c>
      <c r="D53" s="359"/>
      <c r="E53" s="34"/>
      <c r="F53" s="183" t="s">
        <v>341</v>
      </c>
      <c r="G53" s="34"/>
    </row>
    <row r="54" spans="1:7" s="13" customFormat="1" ht="68.099999999999994" customHeight="1" thickBot="1" x14ac:dyDescent="0.3">
      <c r="A54" s="355"/>
      <c r="B54" s="357"/>
      <c r="C54" s="352" t="s">
        <v>73</v>
      </c>
      <c r="D54" s="353"/>
      <c r="E54" s="34"/>
      <c r="F54" s="174">
        <v>220</v>
      </c>
      <c r="G54" s="34"/>
    </row>
    <row r="55" spans="1:7" s="13" customFormat="1" x14ac:dyDescent="0.25">
      <c r="A55" s="354" t="s">
        <v>26</v>
      </c>
      <c r="B55" s="356"/>
      <c r="C55" s="358" t="s">
        <v>74</v>
      </c>
      <c r="D55" s="359"/>
      <c r="E55" s="34"/>
      <c r="F55" s="183" t="s">
        <v>296</v>
      </c>
      <c r="G55" s="34"/>
    </row>
    <row r="56" spans="1:7" s="13" customFormat="1" x14ac:dyDescent="0.25">
      <c r="A56" s="362"/>
      <c r="B56" s="363"/>
      <c r="C56" s="364" t="s">
        <v>75</v>
      </c>
      <c r="D56" s="365"/>
      <c r="E56" s="34"/>
      <c r="F56" s="169">
        <v>2</v>
      </c>
      <c r="G56" s="34"/>
    </row>
    <row r="57" spans="1:7" s="13" customFormat="1" ht="13.5" thickBot="1" x14ac:dyDescent="0.3">
      <c r="A57" s="355"/>
      <c r="B57" s="357"/>
      <c r="C57" s="352" t="s">
        <v>76</v>
      </c>
      <c r="D57" s="353"/>
      <c r="E57" s="34"/>
      <c r="F57" s="174">
        <v>770</v>
      </c>
      <c r="G57" s="34"/>
    </row>
    <row r="58" spans="1:7" s="13" customFormat="1" ht="15.95" customHeight="1" thickBot="1" x14ac:dyDescent="0.3">
      <c r="A58" s="50" t="s">
        <v>44</v>
      </c>
      <c r="B58" s="30" t="s">
        <v>45</v>
      </c>
      <c r="C58" s="368"/>
      <c r="D58" s="369"/>
      <c r="E58" s="35"/>
      <c r="F58" s="186"/>
      <c r="G58" s="35"/>
    </row>
    <row r="59" spans="1:7" s="13" customFormat="1" ht="28.5" customHeight="1" thickBot="1" x14ac:dyDescent="0.3">
      <c r="A59" s="50" t="s">
        <v>44</v>
      </c>
      <c r="B59" s="30" t="s">
        <v>63</v>
      </c>
      <c r="C59" s="368"/>
      <c r="D59" s="369"/>
      <c r="E59" s="35"/>
      <c r="F59" s="186"/>
      <c r="G59" s="35"/>
    </row>
    <row r="60" spans="1:7" s="13" customFormat="1" ht="30" customHeight="1" thickBot="1" x14ac:dyDescent="0.3">
      <c r="A60" s="50" t="s">
        <v>44</v>
      </c>
      <c r="B60" s="30" t="s">
        <v>64</v>
      </c>
      <c r="C60" s="368"/>
      <c r="D60" s="369"/>
      <c r="E60" s="35"/>
      <c r="F60" s="186"/>
      <c r="G60" s="35"/>
    </row>
    <row r="61" spans="1:7" s="13" customFormat="1" ht="15.95" customHeight="1" thickBot="1" x14ac:dyDescent="0.3">
      <c r="A61" s="50" t="s">
        <v>50</v>
      </c>
      <c r="B61" s="30" t="s">
        <v>65</v>
      </c>
      <c r="C61" s="368"/>
      <c r="D61" s="369"/>
      <c r="E61" s="35"/>
      <c r="F61" s="186"/>
      <c r="G61" s="35"/>
    </row>
    <row r="62" spans="1:7" s="13" customFormat="1" ht="13.5" thickBot="1" x14ac:dyDescent="0.3">
      <c r="A62" s="50" t="s">
        <v>27</v>
      </c>
      <c r="B62" s="30"/>
      <c r="C62" s="380" t="s">
        <v>77</v>
      </c>
      <c r="D62" s="381"/>
      <c r="E62" s="34"/>
      <c r="F62" s="184" t="s">
        <v>342</v>
      </c>
      <c r="G62" s="34"/>
    </row>
    <row r="63" spans="1:7" s="13" customFormat="1" ht="40.5" customHeight="1" thickBot="1" x14ac:dyDescent="0.3">
      <c r="A63" s="50" t="s">
        <v>28</v>
      </c>
      <c r="B63" s="30" t="s">
        <v>147</v>
      </c>
      <c r="C63" s="380" t="s">
        <v>78</v>
      </c>
      <c r="D63" s="381"/>
      <c r="E63" s="34"/>
      <c r="F63" s="184" t="s">
        <v>343</v>
      </c>
      <c r="G63" s="34"/>
    </row>
    <row r="64" spans="1:7" s="13" customFormat="1" ht="40.5" customHeight="1" thickBot="1" x14ac:dyDescent="0.3">
      <c r="A64" s="50" t="s">
        <v>51</v>
      </c>
      <c r="B64" s="30" t="s">
        <v>79</v>
      </c>
      <c r="C64" s="368"/>
      <c r="D64" s="369"/>
      <c r="E64" s="35"/>
      <c r="F64" s="184"/>
      <c r="G64" s="35"/>
    </row>
    <row r="65" spans="1:7" s="13" customFormat="1" ht="41.1" customHeight="1" thickBot="1" x14ac:dyDescent="0.3">
      <c r="A65" s="50" t="s">
        <v>54</v>
      </c>
      <c r="B65" s="30" t="s">
        <v>80</v>
      </c>
      <c r="C65" s="368"/>
      <c r="D65" s="369"/>
      <c r="E65" s="35"/>
      <c r="F65" s="184"/>
      <c r="G65" s="35"/>
    </row>
    <row r="66" spans="1:7" s="13" customFormat="1" ht="77.099999999999994" customHeight="1" thickBot="1" x14ac:dyDescent="0.3">
      <c r="A66" s="50" t="s">
        <v>29</v>
      </c>
      <c r="B66" s="30" t="s">
        <v>126</v>
      </c>
      <c r="C66" s="368"/>
      <c r="D66" s="369"/>
      <c r="E66" s="35"/>
      <c r="F66" s="184"/>
      <c r="G66" s="35"/>
    </row>
    <row r="67" spans="1:7" s="13" customFormat="1" ht="39" thickBot="1" x14ac:dyDescent="0.3">
      <c r="A67" s="50" t="s">
        <v>31</v>
      </c>
      <c r="B67" s="30" t="s">
        <v>94</v>
      </c>
      <c r="C67" s="380" t="s">
        <v>30</v>
      </c>
      <c r="D67" s="381"/>
      <c r="E67" s="34"/>
      <c r="F67" s="184" t="s">
        <v>344</v>
      </c>
      <c r="G67" s="34"/>
    </row>
    <row r="68" spans="1:7" s="13" customFormat="1" ht="26.45" customHeight="1" thickBot="1" x14ac:dyDescent="0.3">
      <c r="A68" s="50" t="s">
        <v>55</v>
      </c>
      <c r="B68" s="30" t="s">
        <v>95</v>
      </c>
      <c r="C68" s="368"/>
      <c r="D68" s="369"/>
      <c r="E68" s="35"/>
      <c r="F68" s="184"/>
      <c r="G68" s="35"/>
    </row>
    <row r="69" spans="1:7" s="13" customFormat="1" ht="26.25" thickBot="1" x14ac:dyDescent="0.3">
      <c r="A69" s="50" t="s">
        <v>32</v>
      </c>
      <c r="B69" s="30" t="s">
        <v>96</v>
      </c>
      <c r="C69" s="380" t="s">
        <v>30</v>
      </c>
      <c r="D69" s="381"/>
      <c r="E69" s="34"/>
      <c r="F69" s="184" t="s">
        <v>345</v>
      </c>
      <c r="G69" s="34"/>
    </row>
    <row r="70" spans="1:7" s="13" customFormat="1" ht="42.6" customHeight="1" thickBot="1" x14ac:dyDescent="0.3">
      <c r="A70" s="50" t="s">
        <v>56</v>
      </c>
      <c r="B70" s="30" t="s">
        <v>167</v>
      </c>
      <c r="C70" s="368"/>
      <c r="D70" s="369"/>
      <c r="E70" s="35"/>
      <c r="F70" s="184"/>
      <c r="G70" s="35"/>
    </row>
    <row r="71" spans="1:7" s="13" customFormat="1" ht="30.95" customHeight="1" thickBot="1" x14ac:dyDescent="0.3">
      <c r="A71" s="50" t="s">
        <v>48</v>
      </c>
      <c r="B71" s="30" t="s">
        <v>47</v>
      </c>
      <c r="C71" s="368"/>
      <c r="D71" s="369"/>
      <c r="E71" s="35"/>
      <c r="F71" s="184"/>
      <c r="G71" s="35"/>
    </row>
    <row r="72" spans="1:7" s="13" customFormat="1" ht="27.6" customHeight="1" thickBot="1" x14ac:dyDescent="0.3">
      <c r="A72" s="50" t="s">
        <v>49</v>
      </c>
      <c r="B72" s="30" t="s">
        <v>103</v>
      </c>
      <c r="C72" s="368"/>
      <c r="D72" s="369"/>
      <c r="E72" s="35"/>
      <c r="F72" s="184"/>
      <c r="G72" s="35"/>
    </row>
    <row r="73" spans="1:7" s="13" customFormat="1" ht="26.25" thickBot="1" x14ac:dyDescent="0.3">
      <c r="A73" s="50" t="s">
        <v>46</v>
      </c>
      <c r="B73" s="30" t="s">
        <v>81</v>
      </c>
      <c r="C73" s="368"/>
      <c r="D73" s="369"/>
      <c r="E73" s="35"/>
      <c r="F73" s="184"/>
      <c r="G73" s="35"/>
    </row>
    <row r="74" spans="1:7" ht="13.5" thickBot="1" x14ac:dyDescent="0.25"/>
    <row r="75" spans="1:7" s="17" customFormat="1" ht="32.25" thickBot="1" x14ac:dyDescent="0.3">
      <c r="A75" s="373" t="s">
        <v>168</v>
      </c>
      <c r="B75" s="374"/>
      <c r="C75" s="374"/>
      <c r="D75" s="375"/>
      <c r="E75" s="38"/>
      <c r="F75" s="196" t="s">
        <v>387</v>
      </c>
      <c r="G75" s="38"/>
    </row>
    <row r="76" spans="1:7" s="3" customFormat="1" ht="15" customHeight="1" thickBot="1" x14ac:dyDescent="0.3">
      <c r="A76" s="382" t="s">
        <v>169</v>
      </c>
      <c r="B76" s="383"/>
      <c r="C76" s="383"/>
      <c r="D76" s="384"/>
      <c r="E76" s="39"/>
      <c r="F76" s="188" t="s">
        <v>17</v>
      </c>
      <c r="G76" s="39"/>
    </row>
    <row r="77" spans="1:7" s="13" customFormat="1" x14ac:dyDescent="0.25">
      <c r="A77" s="385" t="s">
        <v>82</v>
      </c>
      <c r="B77" s="386"/>
      <c r="C77" s="386"/>
      <c r="D77" s="387"/>
      <c r="E77" s="35"/>
      <c r="F77" s="199" t="s">
        <v>181</v>
      </c>
      <c r="G77" s="35"/>
    </row>
    <row r="78" spans="1:7" s="13" customFormat="1" x14ac:dyDescent="0.25">
      <c r="A78" s="385" t="s">
        <v>83</v>
      </c>
      <c r="B78" s="386"/>
      <c r="C78" s="386"/>
      <c r="D78" s="387"/>
      <c r="E78" s="35"/>
      <c r="F78" s="189">
        <f>-1257.64*('PPI Adj'!D6)</f>
        <v>-1467.6658800000002</v>
      </c>
      <c r="G78" s="35"/>
    </row>
    <row r="79" spans="1:7" s="13" customFormat="1" x14ac:dyDescent="0.25">
      <c r="A79" s="388" t="s">
        <v>34</v>
      </c>
      <c r="B79" s="389"/>
      <c r="C79" s="389"/>
      <c r="D79" s="390"/>
      <c r="E79" s="34"/>
      <c r="F79" s="190">
        <f>593.33*('PPI Adj'!D6)</f>
        <v>692.41611000000012</v>
      </c>
      <c r="G79" s="34"/>
    </row>
    <row r="80" spans="1:7" s="13" customFormat="1" x14ac:dyDescent="0.25">
      <c r="A80" s="388" t="s">
        <v>35</v>
      </c>
      <c r="B80" s="389"/>
      <c r="C80" s="389"/>
      <c r="D80" s="390"/>
      <c r="E80" s="35"/>
      <c r="F80" s="190" t="s">
        <v>183</v>
      </c>
      <c r="G80" s="35"/>
    </row>
    <row r="81" spans="1:7" s="13" customFormat="1" x14ac:dyDescent="0.25">
      <c r="A81" s="388" t="s">
        <v>36</v>
      </c>
      <c r="B81" s="389"/>
      <c r="C81" s="389"/>
      <c r="D81" s="390"/>
      <c r="E81" s="34"/>
      <c r="F81" s="190">
        <f>325*('PPI Adj'!D6)</f>
        <v>379.27500000000003</v>
      </c>
      <c r="G81" s="34"/>
    </row>
    <row r="82" spans="1:7" s="13" customFormat="1" x14ac:dyDescent="0.25">
      <c r="A82" s="388" t="s">
        <v>60</v>
      </c>
      <c r="B82" s="389"/>
      <c r="C82" s="389"/>
      <c r="D82" s="390"/>
      <c r="E82" s="34"/>
      <c r="F82" s="190">
        <f>371.13*('PPI Adj'!D6)</f>
        <v>433.10871000000003</v>
      </c>
      <c r="G82" s="34"/>
    </row>
    <row r="83" spans="1:7" s="13" customFormat="1" x14ac:dyDescent="0.25">
      <c r="A83" s="388" t="s">
        <v>61</v>
      </c>
      <c r="B83" s="389"/>
      <c r="C83" s="389"/>
      <c r="D83" s="390"/>
      <c r="E83" s="34"/>
      <c r="F83" s="190" t="s">
        <v>183</v>
      </c>
      <c r="G83" s="34"/>
    </row>
    <row r="84" spans="1:7" s="13" customFormat="1" x14ac:dyDescent="0.25">
      <c r="A84" s="388" t="s">
        <v>86</v>
      </c>
      <c r="B84" s="389"/>
      <c r="C84" s="389"/>
      <c r="D84" s="390"/>
      <c r="E84" s="34"/>
      <c r="F84" s="190">
        <f>650.5*('PPI Adj'!D6)</f>
        <v>759.13350000000003</v>
      </c>
      <c r="G84" s="34"/>
    </row>
    <row r="85" spans="1:7" x14ac:dyDescent="0.2">
      <c r="A85" s="388" t="s">
        <v>85</v>
      </c>
      <c r="B85" s="389"/>
      <c r="C85" s="389"/>
      <c r="D85" s="390"/>
      <c r="E85" s="34"/>
      <c r="F85" s="190">
        <f>1568.09*('PPI Adj'!D6)</f>
        <v>1829.9610299999999</v>
      </c>
      <c r="G85" s="34"/>
    </row>
    <row r="86" spans="1:7" x14ac:dyDescent="0.2">
      <c r="A86" s="388" t="s">
        <v>13</v>
      </c>
      <c r="B86" s="389"/>
      <c r="C86" s="389"/>
      <c r="D86" s="390"/>
      <c r="E86" s="34"/>
      <c r="F86" s="190">
        <f>7296.4*('PPI Adj'!D6)</f>
        <v>8514.898799999999</v>
      </c>
      <c r="G86" s="34"/>
    </row>
    <row r="87" spans="1:7" x14ac:dyDescent="0.2">
      <c r="A87" s="388" t="s">
        <v>38</v>
      </c>
      <c r="B87" s="389"/>
      <c r="C87" s="389"/>
      <c r="D87" s="390"/>
      <c r="E87" s="35"/>
      <c r="F87" s="190">
        <f>546.02*('PPI Adj'!D6)</f>
        <v>637.20533999999998</v>
      </c>
      <c r="G87" s="35"/>
    </row>
    <row r="88" spans="1:7" x14ac:dyDescent="0.2">
      <c r="A88" s="388" t="s">
        <v>39</v>
      </c>
      <c r="B88" s="389"/>
      <c r="C88" s="389"/>
      <c r="D88" s="390"/>
      <c r="E88" s="34"/>
      <c r="F88" s="190">
        <f>669.22*('PPI Adj'!D6)</f>
        <v>780.97974000000011</v>
      </c>
      <c r="G88" s="34"/>
    </row>
    <row r="89" spans="1:7" x14ac:dyDescent="0.2">
      <c r="A89" s="388" t="s">
        <v>90</v>
      </c>
      <c r="B89" s="389"/>
      <c r="C89" s="389"/>
      <c r="D89" s="390"/>
      <c r="E89" s="35"/>
      <c r="F89" s="190">
        <f>230.63*('PPI Adj'!D6)</f>
        <v>269.14521000000002</v>
      </c>
      <c r="G89" s="35"/>
    </row>
    <row r="90" spans="1:7" ht="14.1" customHeight="1" x14ac:dyDescent="0.2">
      <c r="A90" s="388" t="s">
        <v>88</v>
      </c>
      <c r="B90" s="389"/>
      <c r="C90" s="389"/>
      <c r="D90" s="390"/>
      <c r="E90" s="34"/>
      <c r="F90" s="190" t="s">
        <v>181</v>
      </c>
      <c r="G90" s="34"/>
    </row>
    <row r="91" spans="1:7" x14ac:dyDescent="0.2">
      <c r="A91" s="388" t="s">
        <v>40</v>
      </c>
      <c r="B91" s="389"/>
      <c r="C91" s="389"/>
      <c r="D91" s="390"/>
      <c r="E91" s="34"/>
      <c r="F91" s="190">
        <f>157.7*('PPI Adj'!D6)</f>
        <v>184.0359</v>
      </c>
      <c r="G91" s="34"/>
    </row>
    <row r="92" spans="1:7" x14ac:dyDescent="0.2">
      <c r="A92" s="388" t="s">
        <v>14</v>
      </c>
      <c r="B92" s="389"/>
      <c r="C92" s="389"/>
      <c r="D92" s="390"/>
      <c r="E92" s="34"/>
      <c r="F92" s="190">
        <f>3416.45*('PPI Adj'!D6)</f>
        <v>3986.9971499999997</v>
      </c>
      <c r="G92" s="34"/>
    </row>
    <row r="93" spans="1:7" x14ac:dyDescent="0.2">
      <c r="A93" s="388" t="s">
        <v>91</v>
      </c>
      <c r="B93" s="389"/>
      <c r="C93" s="389"/>
      <c r="D93" s="390"/>
      <c r="E93" s="34"/>
      <c r="F93" s="190">
        <f>1800*('PPI Adj'!D6)</f>
        <v>2100.6</v>
      </c>
      <c r="G93" s="34"/>
    </row>
    <row r="94" spans="1:7" x14ac:dyDescent="0.2">
      <c r="A94" s="394" t="s">
        <v>275</v>
      </c>
      <c r="B94" s="395"/>
      <c r="C94" s="395"/>
      <c r="D94" s="396"/>
      <c r="E94" s="34"/>
      <c r="F94" s="200">
        <f>-473.13*('PPI Adj'!D6)</f>
        <v>-552.14270999999997</v>
      </c>
      <c r="G94" s="34"/>
    </row>
    <row r="95" spans="1:7" ht="14.1" customHeight="1" thickBot="1" x14ac:dyDescent="0.25">
      <c r="A95" s="391" t="s">
        <v>92</v>
      </c>
      <c r="B95" s="392"/>
      <c r="C95" s="392"/>
      <c r="D95" s="393"/>
      <c r="E95" s="35"/>
      <c r="F95" s="191">
        <f>1427.13*('PPI Adj'!D6)</f>
        <v>1665.4607100000003</v>
      </c>
      <c r="G95" s="35"/>
    </row>
    <row r="96" spans="1:7" ht="13.5" thickBot="1" x14ac:dyDescent="0.25"/>
    <row r="97" spans="1:7" s="17" customFormat="1" ht="32.25" thickBot="1" x14ac:dyDescent="0.3">
      <c r="A97" s="373" t="s">
        <v>166</v>
      </c>
      <c r="B97" s="374"/>
      <c r="C97" s="374"/>
      <c r="D97" s="375"/>
      <c r="E97" s="38"/>
      <c r="F97" s="196" t="s">
        <v>387</v>
      </c>
      <c r="G97" s="38"/>
    </row>
    <row r="98" spans="1:7" s="3" customFormat="1" ht="15" customHeight="1" thickBot="1" x14ac:dyDescent="0.3">
      <c r="A98" s="52" t="s">
        <v>33</v>
      </c>
      <c r="B98" s="24" t="s">
        <v>7</v>
      </c>
      <c r="C98" s="397" t="s">
        <v>165</v>
      </c>
      <c r="D98" s="398"/>
      <c r="E98" s="39"/>
      <c r="F98" s="188" t="s">
        <v>17</v>
      </c>
      <c r="G98" s="39"/>
    </row>
    <row r="99" spans="1:7" s="13" customFormat="1" ht="28.5" customHeight="1" thickBot="1" x14ac:dyDescent="0.3">
      <c r="A99" s="53" t="s">
        <v>82</v>
      </c>
      <c r="B99" s="16" t="s">
        <v>130</v>
      </c>
      <c r="C99" s="399"/>
      <c r="D99" s="400"/>
      <c r="E99" s="35"/>
      <c r="F99" s="184"/>
      <c r="G99" s="35"/>
    </row>
    <row r="100" spans="1:7" s="13" customFormat="1" ht="41.1" customHeight="1" thickBot="1" x14ac:dyDescent="0.3">
      <c r="A100" s="53" t="s">
        <v>83</v>
      </c>
      <c r="B100" s="23" t="s">
        <v>146</v>
      </c>
      <c r="C100" s="399"/>
      <c r="D100" s="400"/>
      <c r="E100" s="35"/>
      <c r="F100" s="184" t="s">
        <v>346</v>
      </c>
      <c r="G100" s="35"/>
    </row>
    <row r="101" spans="1:7" s="13" customFormat="1" ht="28.5" customHeight="1" thickBot="1" x14ac:dyDescent="0.3">
      <c r="A101" s="50" t="s">
        <v>34</v>
      </c>
      <c r="B101" s="30" t="s">
        <v>107</v>
      </c>
      <c r="C101" s="380" t="s">
        <v>30</v>
      </c>
      <c r="D101" s="381"/>
      <c r="E101" s="34"/>
      <c r="F101" s="184" t="s">
        <v>347</v>
      </c>
      <c r="G101" s="34"/>
    </row>
    <row r="102" spans="1:7" s="13" customFormat="1" ht="53.45" customHeight="1" thickBot="1" x14ac:dyDescent="0.3">
      <c r="A102" s="50" t="s">
        <v>35</v>
      </c>
      <c r="B102" s="30" t="s">
        <v>97</v>
      </c>
      <c r="C102" s="368"/>
      <c r="D102" s="369"/>
      <c r="E102" s="35"/>
      <c r="F102" s="183" t="s">
        <v>348</v>
      </c>
      <c r="G102" s="35"/>
    </row>
    <row r="103" spans="1:7" s="13" customFormat="1" ht="30.6" customHeight="1" thickBot="1" x14ac:dyDescent="0.3">
      <c r="A103" s="50" t="s">
        <v>36</v>
      </c>
      <c r="B103" s="30" t="s">
        <v>84</v>
      </c>
      <c r="C103" s="380" t="s">
        <v>99</v>
      </c>
      <c r="D103" s="381"/>
      <c r="E103" s="34"/>
      <c r="F103" s="184" t="s">
        <v>349</v>
      </c>
      <c r="G103" s="34"/>
    </row>
    <row r="104" spans="1:7" s="13" customFormat="1" ht="12.75" customHeight="1" x14ac:dyDescent="0.25">
      <c r="A104" s="354" t="s">
        <v>60</v>
      </c>
      <c r="B104" s="356" t="s">
        <v>127</v>
      </c>
      <c r="C104" s="358" t="s">
        <v>176</v>
      </c>
      <c r="D104" s="359"/>
      <c r="E104" s="34"/>
      <c r="F104" s="183" t="s">
        <v>335</v>
      </c>
      <c r="G104" s="34"/>
    </row>
    <row r="105" spans="1:7" s="13" customFormat="1" ht="12.75" customHeight="1" x14ac:dyDescent="0.25">
      <c r="A105" s="362"/>
      <c r="B105" s="363"/>
      <c r="C105" s="364" t="s">
        <v>177</v>
      </c>
      <c r="D105" s="365"/>
      <c r="E105" s="34"/>
      <c r="F105" s="169" t="s">
        <v>350</v>
      </c>
      <c r="G105" s="34"/>
    </row>
    <row r="106" spans="1:7" s="13" customFormat="1" ht="12.75" customHeight="1" x14ac:dyDescent="0.25">
      <c r="A106" s="362"/>
      <c r="B106" s="363"/>
      <c r="C106" s="364" t="s">
        <v>114</v>
      </c>
      <c r="D106" s="365"/>
      <c r="E106" s="34"/>
      <c r="F106" s="169" t="s">
        <v>351</v>
      </c>
      <c r="G106" s="34"/>
    </row>
    <row r="107" spans="1:7" s="13" customFormat="1" ht="13.5" thickBot="1" x14ac:dyDescent="0.3">
      <c r="A107" s="355"/>
      <c r="B107" s="357"/>
      <c r="C107" s="352" t="s">
        <v>115</v>
      </c>
      <c r="D107" s="353"/>
      <c r="E107" s="34"/>
      <c r="F107" s="174" t="s">
        <v>352</v>
      </c>
      <c r="G107" s="34"/>
    </row>
    <row r="108" spans="1:7" s="13" customFormat="1" ht="12.75" customHeight="1" x14ac:dyDescent="0.25">
      <c r="A108" s="354" t="s">
        <v>61</v>
      </c>
      <c r="B108" s="356" t="s">
        <v>128</v>
      </c>
      <c r="C108" s="358" t="s">
        <v>174</v>
      </c>
      <c r="D108" s="359"/>
      <c r="E108" s="34"/>
      <c r="F108" s="183"/>
      <c r="G108" s="34"/>
    </row>
    <row r="109" spans="1:7" s="13" customFormat="1" ht="12.75" customHeight="1" x14ac:dyDescent="0.25">
      <c r="A109" s="362"/>
      <c r="B109" s="363"/>
      <c r="C109" s="364" t="s">
        <v>175</v>
      </c>
      <c r="D109" s="365"/>
      <c r="E109" s="34"/>
      <c r="F109" s="185"/>
      <c r="G109" s="34"/>
    </row>
    <row r="110" spans="1:7" s="13" customFormat="1" ht="12.75" customHeight="1" x14ac:dyDescent="0.25">
      <c r="A110" s="362"/>
      <c r="B110" s="363"/>
      <c r="C110" s="364" t="s">
        <v>176</v>
      </c>
      <c r="D110" s="365"/>
      <c r="E110" s="34"/>
      <c r="F110" s="185"/>
      <c r="G110" s="34"/>
    </row>
    <row r="111" spans="1:7" s="13" customFormat="1" ht="12.75" customHeight="1" x14ac:dyDescent="0.25">
      <c r="A111" s="362"/>
      <c r="B111" s="363"/>
      <c r="C111" s="364" t="s">
        <v>177</v>
      </c>
      <c r="D111" s="365"/>
      <c r="E111" s="34"/>
      <c r="F111" s="169"/>
      <c r="G111" s="34"/>
    </row>
    <row r="112" spans="1:7" s="13" customFormat="1" ht="12.75" customHeight="1" x14ac:dyDescent="0.25">
      <c r="A112" s="362"/>
      <c r="B112" s="363"/>
      <c r="C112" s="364" t="s">
        <v>112</v>
      </c>
      <c r="D112" s="365"/>
      <c r="E112" s="34"/>
      <c r="F112" s="169"/>
      <c r="G112" s="34"/>
    </row>
    <row r="113" spans="1:7" s="13" customFormat="1" x14ac:dyDescent="0.25">
      <c r="A113" s="362"/>
      <c r="B113" s="363"/>
      <c r="C113" s="364" t="s">
        <v>113</v>
      </c>
      <c r="D113" s="365"/>
      <c r="E113" s="34"/>
      <c r="F113" s="185"/>
      <c r="G113" s="34"/>
    </row>
    <row r="114" spans="1:7" s="13" customFormat="1" ht="12.75" customHeight="1" x14ac:dyDescent="0.25">
      <c r="A114" s="362"/>
      <c r="B114" s="363"/>
      <c r="C114" s="364" t="s">
        <v>114</v>
      </c>
      <c r="D114" s="365"/>
      <c r="E114" s="34"/>
      <c r="F114" s="185"/>
      <c r="G114" s="34"/>
    </row>
    <row r="115" spans="1:7" s="13" customFormat="1" ht="13.5" thickBot="1" x14ac:dyDescent="0.3">
      <c r="A115" s="355"/>
      <c r="B115" s="357"/>
      <c r="C115" s="352" t="s">
        <v>115</v>
      </c>
      <c r="D115" s="353"/>
      <c r="E115" s="34"/>
      <c r="F115" s="174"/>
      <c r="G115" s="34"/>
    </row>
    <row r="116" spans="1:7" s="13" customFormat="1" ht="144" customHeight="1" thickBot="1" x14ac:dyDescent="0.3">
      <c r="A116" s="54" t="s">
        <v>86</v>
      </c>
      <c r="B116" s="18" t="s">
        <v>143</v>
      </c>
      <c r="C116" s="380" t="s">
        <v>104</v>
      </c>
      <c r="D116" s="381"/>
      <c r="E116" s="34"/>
      <c r="F116" s="183" t="s">
        <v>353</v>
      </c>
      <c r="G116" s="34"/>
    </row>
    <row r="117" spans="1:7" ht="170.1" customHeight="1" thickBot="1" x14ac:dyDescent="0.25">
      <c r="A117" s="50" t="s">
        <v>85</v>
      </c>
      <c r="B117" s="14" t="s">
        <v>170</v>
      </c>
      <c r="C117" s="380" t="s">
        <v>104</v>
      </c>
      <c r="D117" s="381"/>
      <c r="E117" s="34"/>
      <c r="F117" s="184" t="s">
        <v>360</v>
      </c>
      <c r="G117" s="34"/>
    </row>
    <row r="118" spans="1:7" x14ac:dyDescent="0.2">
      <c r="A118" s="354" t="s">
        <v>13</v>
      </c>
      <c r="B118" s="356" t="s">
        <v>98</v>
      </c>
      <c r="C118" s="358" t="s">
        <v>30</v>
      </c>
      <c r="D118" s="359"/>
      <c r="E118" s="34"/>
      <c r="F118" s="183" t="s">
        <v>354</v>
      </c>
      <c r="G118" s="34"/>
    </row>
    <row r="119" spans="1:7" ht="27.6" customHeight="1" thickBot="1" x14ac:dyDescent="0.25">
      <c r="A119" s="355"/>
      <c r="B119" s="357"/>
      <c r="C119" s="352" t="s">
        <v>109</v>
      </c>
      <c r="D119" s="353"/>
      <c r="E119" s="34"/>
      <c r="F119" s="174" t="s">
        <v>355</v>
      </c>
      <c r="G119" s="34"/>
    </row>
    <row r="120" spans="1:7" ht="42.6" customHeight="1" thickBot="1" x14ac:dyDescent="0.25">
      <c r="A120" s="50" t="s">
        <v>38</v>
      </c>
      <c r="B120" s="30" t="s">
        <v>87</v>
      </c>
      <c r="C120" s="368"/>
      <c r="D120" s="369"/>
      <c r="E120" s="35"/>
      <c r="F120" s="184" t="s">
        <v>356</v>
      </c>
      <c r="G120" s="35"/>
    </row>
    <row r="121" spans="1:7" ht="28.5" customHeight="1" thickBot="1" x14ac:dyDescent="0.25">
      <c r="A121" s="50" t="s">
        <v>39</v>
      </c>
      <c r="B121" s="30" t="s">
        <v>106</v>
      </c>
      <c r="C121" s="380" t="s">
        <v>105</v>
      </c>
      <c r="D121" s="381"/>
      <c r="E121" s="34"/>
      <c r="F121" s="184" t="s">
        <v>184</v>
      </c>
      <c r="G121" s="34"/>
    </row>
    <row r="122" spans="1:7" ht="41.1" customHeight="1" thickBot="1" x14ac:dyDescent="0.25">
      <c r="A122" s="50" t="s">
        <v>90</v>
      </c>
      <c r="B122" s="30" t="s">
        <v>129</v>
      </c>
      <c r="C122" s="368"/>
      <c r="D122" s="369"/>
      <c r="E122" s="35"/>
      <c r="F122" s="184" t="s">
        <v>357</v>
      </c>
      <c r="G122" s="35"/>
    </row>
    <row r="123" spans="1:7" x14ac:dyDescent="0.2">
      <c r="A123" s="354" t="s">
        <v>88</v>
      </c>
      <c r="B123" s="356" t="s">
        <v>148</v>
      </c>
      <c r="C123" s="358" t="s">
        <v>100</v>
      </c>
      <c r="D123" s="359"/>
      <c r="E123" s="34"/>
      <c r="F123" s="183" t="s">
        <v>181</v>
      </c>
      <c r="G123" s="34"/>
    </row>
    <row r="124" spans="1:7" ht="102.6" customHeight="1" thickBot="1" x14ac:dyDescent="0.25">
      <c r="A124" s="355"/>
      <c r="B124" s="357"/>
      <c r="C124" s="352" t="s">
        <v>110</v>
      </c>
      <c r="D124" s="353"/>
      <c r="E124" s="34"/>
      <c r="F124" s="201"/>
      <c r="G124" s="34"/>
    </row>
    <row r="125" spans="1:7" ht="26.25" thickBot="1" x14ac:dyDescent="0.25">
      <c r="A125" s="50" t="s">
        <v>40</v>
      </c>
      <c r="B125" s="30" t="s">
        <v>137</v>
      </c>
      <c r="C125" s="380" t="s">
        <v>100</v>
      </c>
      <c r="D125" s="381"/>
      <c r="E125" s="34"/>
      <c r="F125" s="174" t="s">
        <v>358</v>
      </c>
      <c r="G125" s="34"/>
    </row>
    <row r="126" spans="1:7" ht="51.95" customHeight="1" thickBot="1" x14ac:dyDescent="0.25">
      <c r="A126" s="50" t="s">
        <v>14</v>
      </c>
      <c r="B126" s="30" t="s">
        <v>138</v>
      </c>
      <c r="C126" s="380" t="s">
        <v>139</v>
      </c>
      <c r="D126" s="381"/>
      <c r="E126" s="34"/>
      <c r="F126" s="184">
        <v>2</v>
      </c>
      <c r="G126" s="34"/>
    </row>
    <row r="127" spans="1:7" ht="64.5" customHeight="1" thickBot="1" x14ac:dyDescent="0.25">
      <c r="A127" s="50" t="s">
        <v>91</v>
      </c>
      <c r="B127" s="30" t="s">
        <v>144</v>
      </c>
      <c r="C127" s="380" t="s">
        <v>100</v>
      </c>
      <c r="D127" s="381"/>
      <c r="E127" s="34"/>
      <c r="F127" s="184" t="s">
        <v>359</v>
      </c>
      <c r="G127" s="34"/>
    </row>
    <row r="128" spans="1:7" ht="64.5" customHeight="1" thickBot="1" x14ac:dyDescent="0.25">
      <c r="A128" s="50" t="s">
        <v>92</v>
      </c>
      <c r="B128" s="30" t="s">
        <v>145</v>
      </c>
      <c r="C128" s="368"/>
      <c r="D128" s="369"/>
      <c r="E128" s="35"/>
      <c r="F128" s="184"/>
      <c r="G128" s="35"/>
    </row>
  </sheetData>
  <sheetProtection algorithmName="SHA-512" hashValue="f4nlK3qIvOVuvyMqYhI9T99xdydsplYgcZFabZfdc4aFj1lHwZotqTeLnhH+/QDpvZVpb6ukiy/pO0YZwUVanA==" saltValue="dtsA+3FYU1LfRzieKIUG5A==" spinCount="100000" sheet="1" objects="1" scenarios="1"/>
  <dataConsolidate/>
  <mergeCells count="143">
    <mergeCell ref="C128:D128"/>
    <mergeCell ref="A77:D77"/>
    <mergeCell ref="C99:D99"/>
    <mergeCell ref="C120:D120"/>
    <mergeCell ref="C121:D121"/>
    <mergeCell ref="C122:D122"/>
    <mergeCell ref="A123:A124"/>
    <mergeCell ref="B123:B124"/>
    <mergeCell ref="C123:D123"/>
    <mergeCell ref="C124:D124"/>
    <mergeCell ref="C115:D115"/>
    <mergeCell ref="C116:D116"/>
    <mergeCell ref="C117:D117"/>
    <mergeCell ref="C125:D125"/>
    <mergeCell ref="C126:D126"/>
    <mergeCell ref="C127:D127"/>
    <mergeCell ref="A118:A119"/>
    <mergeCell ref="B118:B119"/>
    <mergeCell ref="C118:D118"/>
    <mergeCell ref="C119:D119"/>
    <mergeCell ref="C107:D107"/>
    <mergeCell ref="A108:A115"/>
    <mergeCell ref="B108:B115"/>
    <mergeCell ref="C108:D108"/>
    <mergeCell ref="C110:D110"/>
    <mergeCell ref="C111:D111"/>
    <mergeCell ref="C112:D112"/>
    <mergeCell ref="C113:D113"/>
    <mergeCell ref="C114:D114"/>
    <mergeCell ref="C98:D98"/>
    <mergeCell ref="C100:D100"/>
    <mergeCell ref="C101:D101"/>
    <mergeCell ref="C102:D102"/>
    <mergeCell ref="C103:D103"/>
    <mergeCell ref="C109:D109"/>
    <mergeCell ref="A91:D91"/>
    <mergeCell ref="A92:D92"/>
    <mergeCell ref="A104:A107"/>
    <mergeCell ref="B104:B107"/>
    <mergeCell ref="C104:D104"/>
    <mergeCell ref="C105:D105"/>
    <mergeCell ref="C106:D106"/>
    <mergeCell ref="A93:D93"/>
    <mergeCell ref="A95:D95"/>
    <mergeCell ref="A97:D97"/>
    <mergeCell ref="A94:D94"/>
    <mergeCell ref="A82:D82"/>
    <mergeCell ref="A83:D83"/>
    <mergeCell ref="A84:D84"/>
    <mergeCell ref="A85:D85"/>
    <mergeCell ref="A86:D86"/>
    <mergeCell ref="A87:D87"/>
    <mergeCell ref="A88:D88"/>
    <mergeCell ref="A89:D89"/>
    <mergeCell ref="A90:D90"/>
    <mergeCell ref="A78:D78"/>
    <mergeCell ref="A79:D79"/>
    <mergeCell ref="A80:D80"/>
    <mergeCell ref="C70:D70"/>
    <mergeCell ref="C71:D71"/>
    <mergeCell ref="C72:D72"/>
    <mergeCell ref="C73:D73"/>
    <mergeCell ref="A75:D75"/>
    <mergeCell ref="A81:D81"/>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C30:D30"/>
    <mergeCell ref="B23:D23"/>
    <mergeCell ref="A25:D25"/>
    <mergeCell ref="A36:A37"/>
    <mergeCell ref="B36:B37"/>
    <mergeCell ref="C36:D36"/>
    <mergeCell ref="C37:D37"/>
    <mergeCell ref="C35:D35"/>
    <mergeCell ref="C26:D26"/>
    <mergeCell ref="A38:A39"/>
    <mergeCell ref="B38:B39"/>
    <mergeCell ref="C38:D38"/>
    <mergeCell ref="C39:D39"/>
    <mergeCell ref="A31:A35"/>
    <mergeCell ref="B31:B35"/>
    <mergeCell ref="C31:D31"/>
    <mergeCell ref="C32:D32"/>
    <mergeCell ref="C33:D33"/>
    <mergeCell ref="C34:D34"/>
    <mergeCell ref="B17:D17"/>
    <mergeCell ref="B21:D21"/>
    <mergeCell ref="B22:D22"/>
    <mergeCell ref="A19:D19"/>
    <mergeCell ref="C27:D27"/>
    <mergeCell ref="A28:A29"/>
    <mergeCell ref="B28:B29"/>
    <mergeCell ref="C28:D28"/>
    <mergeCell ref="C29:D29"/>
    <mergeCell ref="B14:D14"/>
    <mergeCell ref="B15:D15"/>
    <mergeCell ref="B16:D16"/>
    <mergeCell ref="B8:D8"/>
    <mergeCell ref="B9:D9"/>
    <mergeCell ref="B10:D10"/>
    <mergeCell ref="B11:D11"/>
    <mergeCell ref="A3:D3"/>
    <mergeCell ref="A4:D4"/>
    <mergeCell ref="A6:D6"/>
    <mergeCell ref="B12:D12"/>
    <mergeCell ref="B13:D13"/>
  </mergeCells>
  <conditionalFormatting sqref="C52 C60">
    <cfRule type="expression" dxfId="307" priority="43">
      <formula>#REF!="NO"</formula>
    </cfRule>
  </conditionalFormatting>
  <conditionalFormatting sqref="C27:G73">
    <cfRule type="expression" dxfId="306" priority="6">
      <formula>#REF!="NO"</formula>
    </cfRule>
  </conditionalFormatting>
  <conditionalFormatting sqref="C99:G128">
    <cfRule type="expression" dxfId="305" priority="1">
      <formula>#REF!="NO"</formula>
    </cfRule>
  </conditionalFormatting>
  <conditionalFormatting sqref="E77:G95">
    <cfRule type="expression" dxfId="304" priority="2">
      <formula>#REF!="NO"</formula>
    </cfRule>
  </conditionalFormatting>
  <conditionalFormatting sqref="F8:F17">
    <cfRule type="expression" dxfId="303" priority="25">
      <formula>#REF!="NO"</formula>
    </cfRule>
  </conditionalFormatting>
  <conditionalFormatting sqref="F21:F23">
    <cfRule type="expression" dxfId="302" priority="39">
      <formula>#REF!="NO"</formula>
    </cfRule>
  </conditionalFormatting>
  <dataValidations count="3">
    <dataValidation type="decimal" allowBlank="1" showInputMessage="1" showErrorMessage="1" error="The Additional Options NYS Discount entered must be greater than 0%, or less than or equal to 100%." sqref="F23" xr:uid="{00000000-0002-0000-0100-000002000000}">
      <formula1>0.01</formula1>
      <formula2>100</formula2>
    </dataValidation>
    <dataValidation type="decimal" allowBlank="1" showInputMessage="1" showErrorMessage="1" error="Invalid Entry - Bidder must enter a value that is greater than $0" sqref="F21" xr:uid="{DDA97037-C0A7-41BA-995F-96E007FCDFC0}">
      <formula1>0</formula1>
      <formula2>9E+21</formula2>
    </dataValidation>
    <dataValidation type="decimal" operator="greaterThanOrEqual" allowBlank="1" showInputMessage="1" showErrorMessage="1" error="The Pickup Allowance cannot be a negative number." sqref="F16" xr:uid="{00000000-0002-0000-0100-000000000000}">
      <formula1>0</formula1>
    </dataValidation>
  </dataValidations>
  <pageMargins left="0.25" right="0.25" top="0.5" bottom="0.25" header="0.3" footer="0.3"/>
  <pageSetup scale="93" fitToHeight="0" orientation="landscape" r:id="rId1"/>
  <rowBreaks count="4" manualBreakCount="4">
    <brk id="23" max="16383" man="1"/>
    <brk id="52" max="16383" man="1"/>
    <brk id="95" max="16383" man="1"/>
    <brk id="1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FA1-1506-4870-912D-F2515DF4DE5E}">
  <sheetPr>
    <tabColor rgb="FF7030A0"/>
    <pageSetUpPr autoPageBreaks="0" fitToPage="1"/>
  </sheetPr>
  <dimension ref="A1:I130"/>
  <sheetViews>
    <sheetView showGridLines="0" zoomScaleNormal="100" zoomScaleSheetLayoutView="100" zoomScalePageLayoutView="5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10" customWidth="1"/>
    <col min="8" max="8" width="20.7109375" style="187" customWidth="1"/>
    <col min="9" max="9" width="2.7109375" style="2" customWidth="1"/>
    <col min="10" max="16384" width="9.140625" style="2"/>
  </cols>
  <sheetData>
    <row r="1" spans="1:9" customFormat="1" ht="15" x14ac:dyDescent="0.25">
      <c r="A1" s="165" t="str">
        <f>'A (Item 2-G)'!$A$1</f>
        <v>GROUP 40524-23254, SCHOOL BUSES (Statewide)                                                             Attachment 1 - Specifications and Pricing (Revised October 15, 2026)</v>
      </c>
      <c r="B1" s="2"/>
      <c r="C1" s="2"/>
      <c r="D1" s="2"/>
      <c r="E1" s="2"/>
      <c r="F1" s="210"/>
      <c r="G1" s="287"/>
      <c r="H1" s="287"/>
    </row>
    <row r="2" spans="1:9" customFormat="1" ht="15.75" thickBot="1" x14ac:dyDescent="0.3">
      <c r="A2" s="316" t="s">
        <v>519</v>
      </c>
      <c r="B2" s="26"/>
      <c r="C2" s="26"/>
      <c r="D2" s="26"/>
      <c r="F2" s="287"/>
      <c r="G2" s="287"/>
      <c r="H2" s="287"/>
    </row>
    <row r="3" spans="1:9" ht="24" thickBot="1" x14ac:dyDescent="0.25">
      <c r="A3" s="401" t="s">
        <v>122</v>
      </c>
      <c r="B3" s="402"/>
      <c r="C3" s="402"/>
      <c r="D3" s="403"/>
      <c r="E3" s="9"/>
      <c r="F3" s="312"/>
      <c r="G3" s="312"/>
      <c r="H3" s="312"/>
      <c r="I3" s="9"/>
    </row>
    <row r="4" spans="1:9" ht="51" customHeight="1" thickBot="1" x14ac:dyDescent="0.25">
      <c r="A4" s="343" t="s">
        <v>124</v>
      </c>
      <c r="B4" s="344"/>
      <c r="C4" s="344"/>
      <c r="D4" s="345"/>
      <c r="E4" s="9"/>
      <c r="F4" s="312"/>
      <c r="G4" s="312"/>
      <c r="H4" s="312"/>
      <c r="I4" s="9"/>
    </row>
    <row r="5" spans="1:9" s="4" customFormat="1" ht="11.25" customHeight="1" thickBot="1" x14ac:dyDescent="0.3">
      <c r="A5" s="57"/>
      <c r="B5" s="57"/>
      <c r="C5" s="57"/>
      <c r="D5" s="57"/>
      <c r="E5" s="57"/>
      <c r="F5" s="313"/>
      <c r="G5" s="224"/>
      <c r="H5" s="224"/>
    </row>
    <row r="6" spans="1:9" s="8" customFormat="1" ht="32.25" thickBot="1" x14ac:dyDescent="0.25">
      <c r="A6" s="346" t="s">
        <v>151</v>
      </c>
      <c r="B6" s="347"/>
      <c r="C6" s="347"/>
      <c r="D6" s="348"/>
      <c r="E6" s="36"/>
      <c r="F6" s="196" t="s">
        <v>361</v>
      </c>
      <c r="G6" s="202"/>
      <c r="H6" s="196" t="s">
        <v>387</v>
      </c>
      <c r="I6" s="36"/>
    </row>
    <row r="7" spans="1:9" s="4" customFormat="1" ht="15" customHeight="1" thickBot="1" x14ac:dyDescent="0.3">
      <c r="A7" s="41" t="s">
        <v>6</v>
      </c>
      <c r="B7" s="27" t="s">
        <v>165</v>
      </c>
      <c r="C7" s="32"/>
      <c r="D7" s="40"/>
      <c r="E7" s="37"/>
      <c r="F7" s="188" t="s">
        <v>17</v>
      </c>
      <c r="G7" s="203"/>
      <c r="H7" s="188" t="s">
        <v>17</v>
      </c>
      <c r="I7" s="37"/>
    </row>
    <row r="8" spans="1:9" ht="65.25" thickTop="1" thickBot="1" x14ac:dyDescent="0.25">
      <c r="A8" s="42" t="s">
        <v>9</v>
      </c>
      <c r="B8" s="337" t="s">
        <v>152</v>
      </c>
      <c r="C8" s="338"/>
      <c r="D8" s="339"/>
      <c r="E8" s="13"/>
      <c r="F8" s="167" t="s">
        <v>362</v>
      </c>
      <c r="G8" s="204"/>
      <c r="H8" s="167" t="s">
        <v>383</v>
      </c>
      <c r="I8" s="13"/>
    </row>
    <row r="9" spans="1:9" s="8" customFormat="1" ht="39.6" customHeight="1" thickTop="1" thickBot="1" x14ac:dyDescent="0.25">
      <c r="A9" s="42" t="s">
        <v>136</v>
      </c>
      <c r="B9" s="337" t="s">
        <v>191</v>
      </c>
      <c r="C9" s="338"/>
      <c r="D9" s="339"/>
      <c r="E9" s="13"/>
      <c r="F9" s="167" t="s">
        <v>363</v>
      </c>
      <c r="G9" s="204"/>
      <c r="H9" s="167" t="s">
        <v>384</v>
      </c>
      <c r="I9" s="13"/>
    </row>
    <row r="10" spans="1:9" ht="12.75" customHeight="1" thickTop="1" x14ac:dyDescent="0.2">
      <c r="A10" s="43" t="s">
        <v>0</v>
      </c>
      <c r="B10" s="328" t="s">
        <v>154</v>
      </c>
      <c r="C10" s="329"/>
      <c r="D10" s="330"/>
      <c r="E10" s="13"/>
      <c r="F10" s="169" t="s">
        <v>180</v>
      </c>
      <c r="G10" s="204"/>
      <c r="H10" s="169" t="s">
        <v>329</v>
      </c>
      <c r="I10" s="13"/>
    </row>
    <row r="11" spans="1:9" x14ac:dyDescent="0.2">
      <c r="A11" s="43" t="s">
        <v>1</v>
      </c>
      <c r="B11" s="328" t="s">
        <v>153</v>
      </c>
      <c r="C11" s="329"/>
      <c r="D11" s="330"/>
      <c r="E11" s="13"/>
      <c r="F11" s="169" t="s">
        <v>297</v>
      </c>
      <c r="G11" s="204"/>
      <c r="H11" s="169">
        <v>3500</v>
      </c>
      <c r="I11" s="13"/>
    </row>
    <row r="12" spans="1:9" ht="15.6" customHeight="1" thickBot="1" x14ac:dyDescent="0.25">
      <c r="A12" s="44" t="s">
        <v>2</v>
      </c>
      <c r="B12" s="331" t="s">
        <v>155</v>
      </c>
      <c r="C12" s="332"/>
      <c r="D12" s="333"/>
      <c r="E12" s="13"/>
      <c r="F12" s="170" t="s">
        <v>364</v>
      </c>
      <c r="G12" s="204"/>
      <c r="H12" s="170" t="s">
        <v>385</v>
      </c>
      <c r="I12" s="13"/>
    </row>
    <row r="13" spans="1:9" ht="13.5" thickTop="1" x14ac:dyDescent="0.2">
      <c r="A13" s="43" t="s">
        <v>3</v>
      </c>
      <c r="B13" s="328" t="s">
        <v>157</v>
      </c>
      <c r="C13" s="329"/>
      <c r="D13" s="330"/>
      <c r="E13" s="13"/>
      <c r="F13" s="169" t="s">
        <v>331</v>
      </c>
      <c r="G13" s="204"/>
      <c r="H13" s="169" t="s">
        <v>331</v>
      </c>
      <c r="I13" s="13"/>
    </row>
    <row r="14" spans="1:9" x14ac:dyDescent="0.2">
      <c r="A14" s="43" t="s">
        <v>4</v>
      </c>
      <c r="B14" s="328" t="s">
        <v>156</v>
      </c>
      <c r="C14" s="329"/>
      <c r="D14" s="330"/>
      <c r="E14" s="13"/>
      <c r="F14" s="169" t="s">
        <v>365</v>
      </c>
      <c r="G14" s="204"/>
      <c r="H14" s="169" t="s">
        <v>365</v>
      </c>
      <c r="I14" s="13"/>
    </row>
    <row r="15" spans="1:9" ht="15.75" customHeight="1" thickBot="1" x14ac:dyDescent="0.25">
      <c r="A15" s="45" t="s">
        <v>5</v>
      </c>
      <c r="B15" s="331" t="s">
        <v>158</v>
      </c>
      <c r="C15" s="332"/>
      <c r="D15" s="333"/>
      <c r="E15" s="13"/>
      <c r="F15" s="172" t="s">
        <v>366</v>
      </c>
      <c r="G15" s="204"/>
      <c r="H15" s="172" t="s">
        <v>386</v>
      </c>
      <c r="I15" s="13"/>
    </row>
    <row r="16" spans="1:9" ht="29.25" customHeight="1" thickTop="1" x14ac:dyDescent="0.2">
      <c r="A16" s="43" t="s">
        <v>101</v>
      </c>
      <c r="B16" s="334" t="s">
        <v>160</v>
      </c>
      <c r="C16" s="335"/>
      <c r="D16" s="336"/>
      <c r="E16" s="13"/>
      <c r="F16" s="173">
        <v>100</v>
      </c>
      <c r="G16" s="204"/>
      <c r="H16" s="173">
        <v>100</v>
      </c>
      <c r="I16" s="13"/>
    </row>
    <row r="17" spans="1:9" ht="30.75" customHeight="1" thickBot="1" x14ac:dyDescent="0.25">
      <c r="A17" s="45" t="s">
        <v>43</v>
      </c>
      <c r="B17" s="331" t="s">
        <v>159</v>
      </c>
      <c r="C17" s="332"/>
      <c r="D17" s="333"/>
      <c r="E17" s="13"/>
      <c r="F17" s="172" t="s">
        <v>334</v>
      </c>
      <c r="G17" s="204"/>
      <c r="H17" s="172" t="s">
        <v>334</v>
      </c>
      <c r="I17" s="13"/>
    </row>
    <row r="18" spans="1:9" s="10" customFormat="1" ht="14.25" thickTop="1" thickBot="1" x14ac:dyDescent="0.25">
      <c r="C18" s="11"/>
      <c r="D18" s="11"/>
      <c r="E18" s="11"/>
      <c r="F18" s="175"/>
      <c r="G18" s="175"/>
      <c r="H18" s="175"/>
      <c r="I18" s="11"/>
    </row>
    <row r="19" spans="1:9" s="12" customFormat="1" ht="32.25" thickBot="1" x14ac:dyDescent="0.25">
      <c r="A19" s="346" t="s">
        <v>150</v>
      </c>
      <c r="B19" s="347"/>
      <c r="C19" s="347"/>
      <c r="D19" s="348"/>
      <c r="E19" s="36"/>
      <c r="F19" s="196" t="s">
        <v>361</v>
      </c>
      <c r="G19" s="202"/>
      <c r="H19" s="196" t="s">
        <v>387</v>
      </c>
      <c r="I19" s="36"/>
    </row>
    <row r="20" spans="1:9" s="4" customFormat="1" ht="15" customHeight="1" thickBot="1" x14ac:dyDescent="0.3">
      <c r="A20" s="55" t="s">
        <v>6</v>
      </c>
      <c r="B20" s="31" t="s">
        <v>165</v>
      </c>
      <c r="C20" s="33"/>
      <c r="D20" s="48"/>
      <c r="E20" s="37"/>
      <c r="F20" s="188" t="s">
        <v>17</v>
      </c>
      <c r="G20" s="203"/>
      <c r="H20" s="188" t="s">
        <v>17</v>
      </c>
      <c r="I20" s="37"/>
    </row>
    <row r="21" spans="1:9" ht="56.25" customHeight="1" x14ac:dyDescent="0.2">
      <c r="A21" s="46" t="s">
        <v>42</v>
      </c>
      <c r="B21" s="349" t="s">
        <v>161</v>
      </c>
      <c r="C21" s="350"/>
      <c r="D21" s="351"/>
      <c r="E21" s="13"/>
      <c r="F21" s="197">
        <f>78900*('PPI Adj'!D6)</f>
        <v>92076.3</v>
      </c>
      <c r="G21" s="204"/>
      <c r="H21" s="197">
        <f>76100*('PPI Adj'!D6)</f>
        <v>88808.7</v>
      </c>
      <c r="I21" s="13"/>
    </row>
    <row r="22" spans="1:9" ht="42.75" customHeight="1" x14ac:dyDescent="0.2">
      <c r="A22" s="43" t="s">
        <v>20</v>
      </c>
      <c r="B22" s="328" t="s">
        <v>162</v>
      </c>
      <c r="C22" s="329"/>
      <c r="D22" s="330"/>
      <c r="E22" s="13"/>
      <c r="F22" s="198" t="s">
        <v>181</v>
      </c>
      <c r="G22" s="204"/>
      <c r="H22" s="198" t="s">
        <v>181</v>
      </c>
      <c r="I22" s="13"/>
    </row>
    <row r="23" spans="1:9" ht="33" customHeight="1" thickBot="1" x14ac:dyDescent="0.25">
      <c r="A23" s="47" t="s">
        <v>41</v>
      </c>
      <c r="B23" s="370" t="s">
        <v>163</v>
      </c>
      <c r="C23" s="371"/>
      <c r="D23" s="372"/>
      <c r="E23" s="1"/>
      <c r="F23" s="179">
        <v>12</v>
      </c>
      <c r="G23" s="205"/>
      <c r="H23" s="179">
        <v>12</v>
      </c>
      <c r="I23" s="1"/>
    </row>
    <row r="24" spans="1:9" ht="13.5" thickBot="1" x14ac:dyDescent="0.25">
      <c r="A24" s="58"/>
      <c r="B24" s="1"/>
      <c r="C24" s="1"/>
      <c r="D24" s="1"/>
      <c r="E24" s="1"/>
      <c r="F24" s="180"/>
      <c r="G24" s="205"/>
      <c r="H24" s="180"/>
      <c r="I24" s="1"/>
    </row>
    <row r="25" spans="1:9" s="8" customFormat="1" ht="32.25" thickBot="1" x14ac:dyDescent="0.25">
      <c r="A25" s="373" t="s">
        <v>164</v>
      </c>
      <c r="B25" s="374"/>
      <c r="C25" s="374"/>
      <c r="D25" s="375"/>
      <c r="E25" s="38"/>
      <c r="F25" s="196" t="s">
        <v>295</v>
      </c>
      <c r="G25" s="206"/>
      <c r="H25" s="196" t="s">
        <v>387</v>
      </c>
      <c r="I25" s="38"/>
    </row>
    <row r="26" spans="1:9" s="3" customFormat="1" ht="15" customHeight="1" thickBot="1" x14ac:dyDescent="0.3">
      <c r="A26" s="55" t="s">
        <v>6</v>
      </c>
      <c r="B26" s="56" t="s">
        <v>7</v>
      </c>
      <c r="C26" s="376" t="s">
        <v>165</v>
      </c>
      <c r="D26" s="377"/>
      <c r="E26" s="39"/>
      <c r="F26" s="188" t="s">
        <v>17</v>
      </c>
      <c r="G26" s="207"/>
      <c r="H26" s="188" t="s">
        <v>17</v>
      </c>
      <c r="I26" s="39"/>
    </row>
    <row r="27" spans="1:9" s="13" customFormat="1" ht="39.6" customHeight="1" thickBot="1" x14ac:dyDescent="0.3">
      <c r="A27" s="49" t="s">
        <v>8</v>
      </c>
      <c r="B27" s="29" t="s">
        <v>131</v>
      </c>
      <c r="C27" s="352" t="s">
        <v>118</v>
      </c>
      <c r="D27" s="353"/>
      <c r="E27" s="34"/>
      <c r="F27" s="184">
        <v>11500</v>
      </c>
      <c r="G27" s="208"/>
      <c r="H27" s="184">
        <v>12300</v>
      </c>
      <c r="I27" s="34"/>
    </row>
    <row r="28" spans="1:9" s="13" customFormat="1" x14ac:dyDescent="0.25">
      <c r="A28" s="354" t="s">
        <v>21</v>
      </c>
      <c r="B28" s="356" t="s">
        <v>125</v>
      </c>
      <c r="C28" s="358" t="s">
        <v>67</v>
      </c>
      <c r="D28" s="359"/>
      <c r="E28" s="34"/>
      <c r="F28" s="183">
        <v>4</v>
      </c>
      <c r="G28" s="208"/>
      <c r="H28" s="183">
        <v>4</v>
      </c>
      <c r="I28" s="34"/>
    </row>
    <row r="29" spans="1:9" s="13" customFormat="1" ht="14.45" customHeight="1" thickBot="1" x14ac:dyDescent="0.3">
      <c r="A29" s="355"/>
      <c r="B29" s="357"/>
      <c r="C29" s="352" t="s">
        <v>68</v>
      </c>
      <c r="D29" s="353"/>
      <c r="E29" s="34"/>
      <c r="F29" s="174">
        <v>20</v>
      </c>
      <c r="G29" s="208"/>
      <c r="H29" s="174">
        <v>20</v>
      </c>
      <c r="I29" s="34"/>
    </row>
    <row r="30" spans="1:9" s="13" customFormat="1" ht="13.5" thickBot="1" x14ac:dyDescent="0.3">
      <c r="A30" s="50" t="s">
        <v>123</v>
      </c>
      <c r="B30" s="30" t="s">
        <v>108</v>
      </c>
      <c r="C30" s="368"/>
      <c r="D30" s="369"/>
      <c r="E30" s="35"/>
      <c r="F30" s="184" t="s">
        <v>367</v>
      </c>
      <c r="G30" s="209"/>
      <c r="H30" s="184" t="s">
        <v>367</v>
      </c>
      <c r="I30" s="35"/>
    </row>
    <row r="31" spans="1:9" s="13" customFormat="1" x14ac:dyDescent="0.25">
      <c r="A31" s="354" t="s">
        <v>59</v>
      </c>
      <c r="B31" s="356"/>
      <c r="C31" s="358" t="s">
        <v>58</v>
      </c>
      <c r="D31" s="359"/>
      <c r="E31" s="34"/>
      <c r="F31" s="183">
        <v>138</v>
      </c>
      <c r="G31" s="208"/>
      <c r="H31" s="183">
        <v>139</v>
      </c>
      <c r="I31" s="34"/>
    </row>
    <row r="32" spans="1:9" s="13" customFormat="1" x14ac:dyDescent="0.25">
      <c r="A32" s="362"/>
      <c r="B32" s="363"/>
      <c r="C32" s="364" t="s">
        <v>57</v>
      </c>
      <c r="D32" s="365"/>
      <c r="E32" s="34"/>
      <c r="F32" s="169">
        <v>257</v>
      </c>
      <c r="G32" s="208"/>
      <c r="H32" s="169">
        <v>262</v>
      </c>
      <c r="I32" s="34"/>
    </row>
    <row r="33" spans="1:9" s="13" customFormat="1" x14ac:dyDescent="0.25">
      <c r="A33" s="362"/>
      <c r="B33" s="363"/>
      <c r="C33" s="364" t="s">
        <v>69</v>
      </c>
      <c r="D33" s="365"/>
      <c r="E33" s="34"/>
      <c r="F33" s="169">
        <v>93</v>
      </c>
      <c r="G33" s="208"/>
      <c r="H33" s="169">
        <v>93</v>
      </c>
      <c r="I33" s="34"/>
    </row>
    <row r="34" spans="1:9" s="13" customFormat="1" x14ac:dyDescent="0.25">
      <c r="A34" s="362"/>
      <c r="B34" s="363"/>
      <c r="C34" s="366" t="s">
        <v>70</v>
      </c>
      <c r="D34" s="367"/>
      <c r="E34" s="34"/>
      <c r="F34" s="169">
        <v>76</v>
      </c>
      <c r="G34" s="208"/>
      <c r="H34" s="169">
        <v>76</v>
      </c>
      <c r="I34" s="34"/>
    </row>
    <row r="35" spans="1:9" s="13" customFormat="1" ht="13.5" thickBot="1" x14ac:dyDescent="0.3">
      <c r="A35" s="355"/>
      <c r="B35" s="357"/>
      <c r="C35" s="352" t="s">
        <v>111</v>
      </c>
      <c r="D35" s="353"/>
      <c r="E35" s="34"/>
      <c r="F35" s="174">
        <v>82</v>
      </c>
      <c r="G35" s="208"/>
      <c r="H35" s="174">
        <v>80</v>
      </c>
      <c r="I35" s="34"/>
    </row>
    <row r="36" spans="1:9" s="13" customFormat="1" x14ac:dyDescent="0.25">
      <c r="A36" s="354" t="s">
        <v>11</v>
      </c>
      <c r="B36" s="356"/>
      <c r="C36" s="358" t="s">
        <v>24</v>
      </c>
      <c r="D36" s="359"/>
      <c r="E36" s="34"/>
      <c r="F36" s="183">
        <v>4050</v>
      </c>
      <c r="G36" s="208"/>
      <c r="H36" s="183">
        <v>4300</v>
      </c>
      <c r="I36" s="34"/>
    </row>
    <row r="37" spans="1:9" s="13" customFormat="1" ht="13.5" thickBot="1" x14ac:dyDescent="0.3">
      <c r="A37" s="355"/>
      <c r="B37" s="357"/>
      <c r="C37" s="352" t="s">
        <v>22</v>
      </c>
      <c r="D37" s="353"/>
      <c r="E37" s="34"/>
      <c r="F37" s="174">
        <v>4050</v>
      </c>
      <c r="G37" s="208"/>
      <c r="H37" s="174">
        <v>4300</v>
      </c>
      <c r="I37" s="34"/>
    </row>
    <row r="38" spans="1:9" s="13" customFormat="1" ht="13.5" customHeight="1" x14ac:dyDescent="0.25">
      <c r="A38" s="354" t="s">
        <v>16</v>
      </c>
      <c r="B38" s="356"/>
      <c r="C38" s="358" t="s">
        <v>24</v>
      </c>
      <c r="D38" s="359"/>
      <c r="E38" s="34"/>
      <c r="F38" s="183">
        <v>7800</v>
      </c>
      <c r="G38" s="208"/>
      <c r="H38" s="183">
        <v>8600</v>
      </c>
      <c r="I38" s="34"/>
    </row>
    <row r="39" spans="1:9" s="13" customFormat="1" ht="15.95" customHeight="1" thickBot="1" x14ac:dyDescent="0.3">
      <c r="A39" s="355"/>
      <c r="B39" s="357"/>
      <c r="C39" s="360" t="s">
        <v>23</v>
      </c>
      <c r="D39" s="361"/>
      <c r="E39" s="34"/>
      <c r="F39" s="174">
        <v>7800</v>
      </c>
      <c r="G39" s="208"/>
      <c r="H39" s="174">
        <v>8600</v>
      </c>
      <c r="I39" s="34"/>
    </row>
    <row r="40" spans="1:9" s="13" customFormat="1" ht="18.600000000000001" customHeight="1" thickBot="1" x14ac:dyDescent="0.3">
      <c r="A40" s="50" t="s">
        <v>52</v>
      </c>
      <c r="B40" s="30" t="s">
        <v>53</v>
      </c>
      <c r="C40" s="368"/>
      <c r="D40" s="369"/>
      <c r="E40" s="35"/>
      <c r="F40" s="184"/>
      <c r="G40" s="209"/>
      <c r="H40" s="184"/>
      <c r="I40" s="35"/>
    </row>
    <row r="41" spans="1:9" s="13" customFormat="1" ht="13.5" customHeight="1" thickBot="1" x14ac:dyDescent="0.3">
      <c r="A41" s="378" t="s">
        <v>12</v>
      </c>
      <c r="B41" s="379" t="s">
        <v>142</v>
      </c>
      <c r="C41" s="358" t="s">
        <v>174</v>
      </c>
      <c r="D41" s="359"/>
      <c r="E41" s="34"/>
      <c r="F41" s="183" t="s">
        <v>368</v>
      </c>
      <c r="G41" s="208"/>
      <c r="H41" s="183" t="s">
        <v>379</v>
      </c>
      <c r="I41" s="34"/>
    </row>
    <row r="42" spans="1:9" s="13" customFormat="1" ht="13.5" customHeight="1" thickBot="1" x14ac:dyDescent="0.3">
      <c r="A42" s="378"/>
      <c r="B42" s="379"/>
      <c r="C42" s="364" t="s">
        <v>175</v>
      </c>
      <c r="D42" s="365"/>
      <c r="E42" s="34"/>
      <c r="F42" s="169">
        <v>2680</v>
      </c>
      <c r="G42" s="208"/>
      <c r="H42" s="169">
        <v>2680</v>
      </c>
      <c r="I42" s="34"/>
    </row>
    <row r="43" spans="1:9" s="13" customFormat="1" ht="13.5" customHeight="1" thickBot="1" x14ac:dyDescent="0.3">
      <c r="A43" s="378"/>
      <c r="B43" s="379"/>
      <c r="C43" s="364" t="s">
        <v>176</v>
      </c>
      <c r="D43" s="365"/>
      <c r="E43" s="34"/>
      <c r="F43" s="185" t="s">
        <v>369</v>
      </c>
      <c r="G43" s="208"/>
      <c r="H43" s="185" t="s">
        <v>388</v>
      </c>
      <c r="I43" s="34"/>
    </row>
    <row r="44" spans="1:9" s="13" customFormat="1" ht="13.5" customHeight="1" thickBot="1" x14ac:dyDescent="0.3">
      <c r="A44" s="378"/>
      <c r="B44" s="379"/>
      <c r="C44" s="364" t="s">
        <v>177</v>
      </c>
      <c r="D44" s="365"/>
      <c r="E44" s="34"/>
      <c r="F44" s="169">
        <v>2470</v>
      </c>
      <c r="G44" s="208"/>
      <c r="H44" s="169">
        <v>2470</v>
      </c>
      <c r="I44" s="34"/>
    </row>
    <row r="45" spans="1:9" s="13" customFormat="1" ht="13.5" customHeight="1" thickBot="1" x14ac:dyDescent="0.3">
      <c r="A45" s="378"/>
      <c r="B45" s="379"/>
      <c r="C45" s="364" t="s">
        <v>112</v>
      </c>
      <c r="D45" s="365"/>
      <c r="E45" s="34"/>
      <c r="F45" s="169" t="s">
        <v>370</v>
      </c>
      <c r="G45" s="208"/>
      <c r="H45" s="169" t="s">
        <v>389</v>
      </c>
      <c r="I45" s="34"/>
    </row>
    <row r="46" spans="1:9" s="13" customFormat="1" ht="13.5" thickBot="1" x14ac:dyDescent="0.3">
      <c r="A46" s="378"/>
      <c r="B46" s="379"/>
      <c r="C46" s="364" t="s">
        <v>113</v>
      </c>
      <c r="D46" s="365"/>
      <c r="E46" s="34"/>
      <c r="F46" s="169" t="s">
        <v>371</v>
      </c>
      <c r="G46" s="208"/>
      <c r="H46" s="169" t="s">
        <v>390</v>
      </c>
      <c r="I46" s="34"/>
    </row>
    <row r="47" spans="1:9" s="13" customFormat="1" ht="13.5" customHeight="1" thickBot="1" x14ac:dyDescent="0.3">
      <c r="A47" s="378"/>
      <c r="B47" s="379"/>
      <c r="C47" s="366" t="s">
        <v>114</v>
      </c>
      <c r="D47" s="367"/>
      <c r="E47" s="34"/>
      <c r="F47" s="169" t="s">
        <v>370</v>
      </c>
      <c r="G47" s="208"/>
      <c r="H47" s="169" t="s">
        <v>389</v>
      </c>
      <c r="I47" s="34"/>
    </row>
    <row r="48" spans="1:9" s="13" customFormat="1" ht="13.5" thickBot="1" x14ac:dyDescent="0.3">
      <c r="A48" s="378"/>
      <c r="B48" s="379"/>
      <c r="C48" s="352" t="s">
        <v>115</v>
      </c>
      <c r="D48" s="353"/>
      <c r="E48" s="34"/>
      <c r="F48" s="174" t="s">
        <v>371</v>
      </c>
      <c r="G48" s="208"/>
      <c r="H48" s="174" t="s">
        <v>390</v>
      </c>
      <c r="I48" s="34"/>
    </row>
    <row r="49" spans="1:9" s="13" customFormat="1" x14ac:dyDescent="0.25">
      <c r="A49" s="354" t="s">
        <v>10</v>
      </c>
      <c r="B49" s="356" t="s">
        <v>62</v>
      </c>
      <c r="C49" s="358" t="s">
        <v>116</v>
      </c>
      <c r="D49" s="359"/>
      <c r="E49" s="34"/>
      <c r="F49" s="183">
        <v>6</v>
      </c>
      <c r="G49" s="208"/>
      <c r="H49" s="183">
        <v>8</v>
      </c>
      <c r="I49" s="34"/>
    </row>
    <row r="50" spans="1:9" s="13" customFormat="1" x14ac:dyDescent="0.25">
      <c r="A50" s="362"/>
      <c r="B50" s="363"/>
      <c r="C50" s="364" t="s">
        <v>117</v>
      </c>
      <c r="D50" s="365"/>
      <c r="E50" s="34"/>
      <c r="F50" s="169" t="s">
        <v>372</v>
      </c>
      <c r="G50" s="208"/>
      <c r="H50" s="169" t="s">
        <v>372</v>
      </c>
      <c r="I50" s="34"/>
    </row>
    <row r="51" spans="1:9" s="13" customFormat="1" ht="13.5" thickBot="1" x14ac:dyDescent="0.3">
      <c r="A51" s="362"/>
      <c r="B51" s="363"/>
      <c r="C51" s="360" t="s">
        <v>71</v>
      </c>
      <c r="D51" s="361"/>
      <c r="E51" s="34"/>
      <c r="F51" s="171" t="s">
        <v>373</v>
      </c>
      <c r="G51" s="208"/>
      <c r="H51" s="171" t="s">
        <v>391</v>
      </c>
      <c r="I51" s="34"/>
    </row>
    <row r="52" spans="1:9" s="13" customFormat="1" ht="78" customHeight="1" thickBot="1" x14ac:dyDescent="0.3">
      <c r="A52" s="51" t="s">
        <v>9</v>
      </c>
      <c r="B52" s="28" t="s">
        <v>140</v>
      </c>
      <c r="C52" s="366"/>
      <c r="D52" s="367"/>
      <c r="E52" s="34"/>
      <c r="F52" s="183"/>
      <c r="G52" s="208"/>
      <c r="H52" s="183"/>
      <c r="I52" s="34"/>
    </row>
    <row r="53" spans="1:9" s="13" customFormat="1" x14ac:dyDescent="0.25">
      <c r="A53" s="354" t="s">
        <v>25</v>
      </c>
      <c r="B53" s="356" t="s">
        <v>93</v>
      </c>
      <c r="C53" s="358" t="s">
        <v>72</v>
      </c>
      <c r="D53" s="359"/>
      <c r="E53" s="34"/>
      <c r="F53" s="183" t="s">
        <v>374</v>
      </c>
      <c r="G53" s="208"/>
      <c r="H53" s="183" t="s">
        <v>341</v>
      </c>
      <c r="I53" s="34"/>
    </row>
    <row r="54" spans="1:9" s="13" customFormat="1" ht="78.75" customHeight="1" thickBot="1" x14ac:dyDescent="0.3">
      <c r="A54" s="355"/>
      <c r="B54" s="357"/>
      <c r="C54" s="352" t="s">
        <v>73</v>
      </c>
      <c r="D54" s="353"/>
      <c r="E54" s="34"/>
      <c r="F54" s="174">
        <v>210</v>
      </c>
      <c r="G54" s="208"/>
      <c r="H54" s="174">
        <v>220</v>
      </c>
      <c r="I54" s="34"/>
    </row>
    <row r="55" spans="1:9" s="13" customFormat="1" x14ac:dyDescent="0.25">
      <c r="A55" s="354" t="s">
        <v>26</v>
      </c>
      <c r="B55" s="356"/>
      <c r="C55" s="358" t="s">
        <v>74</v>
      </c>
      <c r="D55" s="359"/>
      <c r="E55" s="34"/>
      <c r="F55" s="183" t="s">
        <v>375</v>
      </c>
      <c r="G55" s="208"/>
      <c r="H55" s="183" t="s">
        <v>296</v>
      </c>
      <c r="I55" s="34"/>
    </row>
    <row r="56" spans="1:9" s="13" customFormat="1" x14ac:dyDescent="0.25">
      <c r="A56" s="362"/>
      <c r="B56" s="363"/>
      <c r="C56" s="364" t="s">
        <v>75</v>
      </c>
      <c r="D56" s="365"/>
      <c r="E56" s="34"/>
      <c r="F56" s="169">
        <v>1</v>
      </c>
      <c r="G56" s="208"/>
      <c r="H56" s="169">
        <v>2</v>
      </c>
      <c r="I56" s="34"/>
    </row>
    <row r="57" spans="1:9" s="13" customFormat="1" ht="13.5" thickBot="1" x14ac:dyDescent="0.3">
      <c r="A57" s="355"/>
      <c r="B57" s="357"/>
      <c r="C57" s="352" t="s">
        <v>76</v>
      </c>
      <c r="D57" s="353"/>
      <c r="E57" s="34"/>
      <c r="F57" s="174">
        <v>750</v>
      </c>
      <c r="G57" s="208"/>
      <c r="H57" s="174">
        <v>770</v>
      </c>
      <c r="I57" s="34"/>
    </row>
    <row r="58" spans="1:9" s="13" customFormat="1" ht="17.100000000000001" customHeight="1" thickBot="1" x14ac:dyDescent="0.3">
      <c r="A58" s="50" t="s">
        <v>44</v>
      </c>
      <c r="B58" s="30" t="s">
        <v>45</v>
      </c>
      <c r="C58" s="368"/>
      <c r="D58" s="369"/>
      <c r="E58" s="35"/>
      <c r="F58" s="186"/>
      <c r="G58" s="209"/>
      <c r="H58" s="186"/>
      <c r="I58" s="35"/>
    </row>
    <row r="59" spans="1:9" s="13" customFormat="1" ht="30.95" customHeight="1" thickBot="1" x14ac:dyDescent="0.3">
      <c r="A59" s="50" t="s">
        <v>44</v>
      </c>
      <c r="B59" s="30" t="s">
        <v>63</v>
      </c>
      <c r="C59" s="368"/>
      <c r="D59" s="369"/>
      <c r="E59" s="35"/>
      <c r="F59" s="186"/>
      <c r="G59" s="209"/>
      <c r="H59" s="186"/>
      <c r="I59" s="35"/>
    </row>
    <row r="60" spans="1:9" s="13" customFormat="1" ht="27.95" customHeight="1" thickBot="1" x14ac:dyDescent="0.3">
      <c r="A60" s="50" t="s">
        <v>44</v>
      </c>
      <c r="B60" s="30" t="s">
        <v>64</v>
      </c>
      <c r="C60" s="368"/>
      <c r="D60" s="369"/>
      <c r="E60" s="35"/>
      <c r="F60" s="186"/>
      <c r="G60" s="209"/>
      <c r="H60" s="186"/>
      <c r="I60" s="35"/>
    </row>
    <row r="61" spans="1:9" s="13" customFormat="1" ht="17.100000000000001" customHeight="1" thickBot="1" x14ac:dyDescent="0.3">
      <c r="A61" s="50" t="s">
        <v>50</v>
      </c>
      <c r="B61" s="30" t="s">
        <v>65</v>
      </c>
      <c r="C61" s="368"/>
      <c r="D61" s="369"/>
      <c r="E61" s="35"/>
      <c r="F61" s="186"/>
      <c r="G61" s="209"/>
      <c r="H61" s="186"/>
      <c r="I61" s="35"/>
    </row>
    <row r="62" spans="1:9" s="13" customFormat="1" ht="13.5" thickBot="1" x14ac:dyDescent="0.3">
      <c r="A62" s="50" t="s">
        <v>27</v>
      </c>
      <c r="B62" s="30"/>
      <c r="C62" s="380" t="s">
        <v>77</v>
      </c>
      <c r="D62" s="381"/>
      <c r="E62" s="34"/>
      <c r="F62" s="184" t="s">
        <v>376</v>
      </c>
      <c r="G62" s="208"/>
      <c r="H62" s="184" t="s">
        <v>376</v>
      </c>
      <c r="I62" s="34"/>
    </row>
    <row r="63" spans="1:9" s="13" customFormat="1" ht="42" customHeight="1" thickBot="1" x14ac:dyDescent="0.3">
      <c r="A63" s="50" t="s">
        <v>28</v>
      </c>
      <c r="B63" s="30" t="s">
        <v>147</v>
      </c>
      <c r="C63" s="380" t="s">
        <v>78</v>
      </c>
      <c r="D63" s="381"/>
      <c r="E63" s="34"/>
      <c r="F63" s="184" t="s">
        <v>377</v>
      </c>
      <c r="G63" s="208"/>
      <c r="H63" s="184" t="s">
        <v>343</v>
      </c>
      <c r="I63" s="34"/>
    </row>
    <row r="64" spans="1:9" s="13" customFormat="1" ht="41.1" customHeight="1" thickBot="1" x14ac:dyDescent="0.3">
      <c r="A64" s="50" t="s">
        <v>51</v>
      </c>
      <c r="B64" s="30" t="s">
        <v>79</v>
      </c>
      <c r="C64" s="368"/>
      <c r="D64" s="369"/>
      <c r="E64" s="35"/>
      <c r="F64" s="184"/>
      <c r="G64" s="209"/>
      <c r="H64" s="184"/>
      <c r="I64" s="35"/>
    </row>
    <row r="65" spans="1:9" s="13" customFormat="1" ht="40.5" customHeight="1" thickBot="1" x14ac:dyDescent="0.3">
      <c r="A65" s="50" t="s">
        <v>54</v>
      </c>
      <c r="B65" s="30" t="s">
        <v>80</v>
      </c>
      <c r="C65" s="368"/>
      <c r="D65" s="369"/>
      <c r="E65" s="35"/>
      <c r="F65" s="184"/>
      <c r="G65" s="209"/>
      <c r="H65" s="184"/>
      <c r="I65" s="35"/>
    </row>
    <row r="66" spans="1:9" s="13" customFormat="1" ht="78" customHeight="1" thickBot="1" x14ac:dyDescent="0.3">
      <c r="A66" s="50" t="s">
        <v>29</v>
      </c>
      <c r="B66" s="30" t="s">
        <v>132</v>
      </c>
      <c r="C66" s="368"/>
      <c r="D66" s="369"/>
      <c r="E66" s="35"/>
      <c r="F66" s="184"/>
      <c r="G66" s="209"/>
      <c r="H66" s="184"/>
      <c r="I66" s="35"/>
    </row>
    <row r="67" spans="1:9" s="13" customFormat="1" ht="51" customHeight="1" thickBot="1" x14ac:dyDescent="0.3">
      <c r="A67" s="50" t="s">
        <v>31</v>
      </c>
      <c r="B67" s="30" t="s">
        <v>94</v>
      </c>
      <c r="C67" s="380" t="s">
        <v>30</v>
      </c>
      <c r="D67" s="381"/>
      <c r="E67" s="34"/>
      <c r="F67" s="184" t="s">
        <v>344</v>
      </c>
      <c r="G67" s="208"/>
      <c r="H67" s="184" t="s">
        <v>344</v>
      </c>
      <c r="I67" s="34"/>
    </row>
    <row r="68" spans="1:9" s="13" customFormat="1" ht="28.5" customHeight="1" thickBot="1" x14ac:dyDescent="0.3">
      <c r="A68" s="50" t="s">
        <v>55</v>
      </c>
      <c r="B68" s="30" t="s">
        <v>95</v>
      </c>
      <c r="C68" s="368"/>
      <c r="D68" s="369"/>
      <c r="E68" s="35"/>
      <c r="F68" s="184"/>
      <c r="G68" s="209"/>
      <c r="H68" s="184"/>
      <c r="I68" s="35"/>
    </row>
    <row r="69" spans="1:9" s="13" customFormat="1" ht="39.75" customHeight="1" thickBot="1" x14ac:dyDescent="0.3">
      <c r="A69" s="50" t="s">
        <v>32</v>
      </c>
      <c r="B69" s="30" t="s">
        <v>96</v>
      </c>
      <c r="C69" s="380" t="s">
        <v>30</v>
      </c>
      <c r="D69" s="381"/>
      <c r="E69" s="34"/>
      <c r="F69" s="184" t="s">
        <v>345</v>
      </c>
      <c r="G69" s="208"/>
      <c r="H69" s="184" t="s">
        <v>345</v>
      </c>
      <c r="I69" s="34"/>
    </row>
    <row r="70" spans="1:9" s="13" customFormat="1" ht="42.6" customHeight="1" thickBot="1" x14ac:dyDescent="0.3">
      <c r="A70" s="50" t="s">
        <v>56</v>
      </c>
      <c r="B70" s="30" t="s">
        <v>167</v>
      </c>
      <c r="C70" s="368"/>
      <c r="D70" s="369"/>
      <c r="E70" s="35"/>
      <c r="F70" s="184"/>
      <c r="G70" s="209"/>
      <c r="H70" s="184"/>
      <c r="I70" s="35"/>
    </row>
    <row r="71" spans="1:9" s="13" customFormat="1" ht="30.95" customHeight="1" thickBot="1" x14ac:dyDescent="0.3">
      <c r="A71" s="50" t="s">
        <v>48</v>
      </c>
      <c r="B71" s="30" t="s">
        <v>47</v>
      </c>
      <c r="C71" s="368"/>
      <c r="D71" s="369"/>
      <c r="E71" s="35"/>
      <c r="F71" s="184"/>
      <c r="G71" s="209"/>
      <c r="H71" s="184"/>
      <c r="I71" s="35"/>
    </row>
    <row r="72" spans="1:9" s="13" customFormat="1" ht="30.6" customHeight="1" thickBot="1" x14ac:dyDescent="0.3">
      <c r="A72" s="50" t="s">
        <v>49</v>
      </c>
      <c r="B72" s="30" t="s">
        <v>103</v>
      </c>
      <c r="C72" s="368"/>
      <c r="D72" s="369"/>
      <c r="E72" s="35"/>
      <c r="F72" s="184"/>
      <c r="G72" s="209"/>
      <c r="H72" s="184"/>
      <c r="I72" s="35"/>
    </row>
    <row r="73" spans="1:9" s="13" customFormat="1" ht="26.25" thickBot="1" x14ac:dyDescent="0.3">
      <c r="A73" s="50" t="s">
        <v>46</v>
      </c>
      <c r="B73" s="30" t="s">
        <v>81</v>
      </c>
      <c r="C73" s="368"/>
      <c r="D73" s="369"/>
      <c r="E73" s="35"/>
      <c r="F73" s="184"/>
      <c r="G73" s="209"/>
      <c r="H73" s="184"/>
      <c r="I73" s="35"/>
    </row>
    <row r="74" spans="1:9" ht="13.5" thickBot="1" x14ac:dyDescent="0.25"/>
    <row r="75" spans="1:9" s="17" customFormat="1" ht="32.25" thickBot="1" x14ac:dyDescent="0.3">
      <c r="A75" s="373" t="s">
        <v>168</v>
      </c>
      <c r="B75" s="374"/>
      <c r="C75" s="374"/>
      <c r="D75" s="375"/>
      <c r="E75" s="38"/>
      <c r="F75" s="196" t="s">
        <v>361</v>
      </c>
      <c r="G75" s="211"/>
      <c r="H75" s="196" t="s">
        <v>387</v>
      </c>
    </row>
    <row r="76" spans="1:9" s="3" customFormat="1" ht="15" customHeight="1" thickBot="1" x14ac:dyDescent="0.3">
      <c r="A76" s="382" t="s">
        <v>169</v>
      </c>
      <c r="B76" s="383"/>
      <c r="C76" s="383"/>
      <c r="D76" s="384"/>
      <c r="E76" s="39"/>
      <c r="F76" s="188" t="s">
        <v>17</v>
      </c>
      <c r="G76" s="212"/>
      <c r="H76" s="188" t="s">
        <v>17</v>
      </c>
    </row>
    <row r="77" spans="1:9" s="13" customFormat="1" x14ac:dyDescent="0.25">
      <c r="A77" s="385" t="s">
        <v>82</v>
      </c>
      <c r="B77" s="386"/>
      <c r="C77" s="386"/>
      <c r="D77" s="387"/>
      <c r="E77" s="35"/>
      <c r="F77" s="199" t="s">
        <v>181</v>
      </c>
      <c r="G77" s="208"/>
      <c r="H77" s="199" t="s">
        <v>181</v>
      </c>
      <c r="I77" s="34"/>
    </row>
    <row r="78" spans="1:9" s="13" customFormat="1" x14ac:dyDescent="0.25">
      <c r="A78" s="385" t="s">
        <v>83</v>
      </c>
      <c r="B78" s="386"/>
      <c r="C78" s="386"/>
      <c r="D78" s="387"/>
      <c r="E78" s="35"/>
      <c r="F78" s="189">
        <f>-1257.64*('PPI Adj'!D6)</f>
        <v>-1467.6658800000002</v>
      </c>
      <c r="G78" s="208"/>
      <c r="H78" s="189">
        <f>-1257.64*('PPI Adj'!D6)</f>
        <v>-1467.6658800000002</v>
      </c>
      <c r="I78" s="34"/>
    </row>
    <row r="79" spans="1:9" s="13" customFormat="1" x14ac:dyDescent="0.25">
      <c r="A79" s="388" t="s">
        <v>34</v>
      </c>
      <c r="B79" s="389"/>
      <c r="C79" s="389"/>
      <c r="D79" s="390"/>
      <c r="E79" s="34"/>
      <c r="F79" s="190">
        <f>593.33*('PPI Adj'!D6)</f>
        <v>692.41611000000012</v>
      </c>
      <c r="G79" s="208"/>
      <c r="H79" s="190">
        <f>593.33*('PPI Adj'!D6)</f>
        <v>692.41611000000012</v>
      </c>
      <c r="I79" s="34"/>
    </row>
    <row r="80" spans="1:9" s="13" customFormat="1" x14ac:dyDescent="0.25">
      <c r="A80" s="388" t="s">
        <v>35</v>
      </c>
      <c r="B80" s="389"/>
      <c r="C80" s="389"/>
      <c r="D80" s="390"/>
      <c r="E80" s="35"/>
      <c r="F80" s="190" t="s">
        <v>183</v>
      </c>
      <c r="G80" s="208"/>
      <c r="H80" s="190" t="s">
        <v>183</v>
      </c>
      <c r="I80" s="34"/>
    </row>
    <row r="81" spans="1:9" s="13" customFormat="1" x14ac:dyDescent="0.25">
      <c r="A81" s="388" t="s">
        <v>36</v>
      </c>
      <c r="B81" s="389"/>
      <c r="C81" s="389"/>
      <c r="D81" s="390"/>
      <c r="E81" s="34"/>
      <c r="F81" s="190">
        <f>270*('PPI Adj'!D6)</f>
        <v>315.09000000000003</v>
      </c>
      <c r="G81" s="208"/>
      <c r="H81" s="190">
        <f>325*('PPI Adj'!D6)</f>
        <v>379.27500000000003</v>
      </c>
      <c r="I81" s="34"/>
    </row>
    <row r="82" spans="1:9" s="13" customFormat="1" x14ac:dyDescent="0.25">
      <c r="A82" s="388" t="s">
        <v>60</v>
      </c>
      <c r="B82" s="389"/>
      <c r="C82" s="389"/>
      <c r="D82" s="390"/>
      <c r="E82" s="34"/>
      <c r="F82" s="190">
        <f>371.13*('PPI Adj'!D6)</f>
        <v>433.10871000000003</v>
      </c>
      <c r="G82" s="208"/>
      <c r="H82" s="190">
        <f>371.13*('PPI Adj'!D6)</f>
        <v>433.10871000000003</v>
      </c>
      <c r="I82" s="34"/>
    </row>
    <row r="83" spans="1:9" s="13" customFormat="1" x14ac:dyDescent="0.25">
      <c r="A83" s="388" t="s">
        <v>61</v>
      </c>
      <c r="B83" s="389"/>
      <c r="C83" s="389"/>
      <c r="D83" s="390"/>
      <c r="E83" s="34"/>
      <c r="F83" s="190" t="s">
        <v>183</v>
      </c>
      <c r="G83" s="208"/>
      <c r="H83" s="190" t="s">
        <v>183</v>
      </c>
      <c r="I83" s="34"/>
    </row>
    <row r="84" spans="1:9" s="13" customFormat="1" x14ac:dyDescent="0.25">
      <c r="A84" s="388" t="s">
        <v>86</v>
      </c>
      <c r="B84" s="389"/>
      <c r="C84" s="389"/>
      <c r="D84" s="390"/>
      <c r="E84" s="34"/>
      <c r="F84" s="190">
        <f>650.5*('PPI Adj'!D6)</f>
        <v>759.13350000000003</v>
      </c>
      <c r="G84" s="208"/>
      <c r="H84" s="190">
        <f>650.5*('PPI Adj'!D6)</f>
        <v>759.13350000000003</v>
      </c>
      <c r="I84" s="34"/>
    </row>
    <row r="85" spans="1:9" x14ac:dyDescent="0.2">
      <c r="A85" s="388" t="s">
        <v>85</v>
      </c>
      <c r="B85" s="389"/>
      <c r="C85" s="389"/>
      <c r="D85" s="390"/>
      <c r="E85" s="34"/>
      <c r="F85" s="190">
        <f>1568.09*('PPI Adj'!D6)</f>
        <v>1829.9610299999999</v>
      </c>
      <c r="G85" s="187"/>
      <c r="H85" s="190">
        <f>1568.09*('PPI Adj'!D6)</f>
        <v>1829.9610299999999</v>
      </c>
      <c r="I85" s="75"/>
    </row>
    <row r="86" spans="1:9" x14ac:dyDescent="0.2">
      <c r="A86" s="388" t="s">
        <v>13</v>
      </c>
      <c r="B86" s="389"/>
      <c r="C86" s="389"/>
      <c r="D86" s="390"/>
      <c r="E86" s="34"/>
      <c r="F86" s="190">
        <f>7296.4*('PPI Adj'!D6)</f>
        <v>8514.898799999999</v>
      </c>
      <c r="G86" s="187"/>
      <c r="H86" s="190">
        <f>7296.4*('PPI Adj'!D6)</f>
        <v>8514.898799999999</v>
      </c>
      <c r="I86" s="75"/>
    </row>
    <row r="87" spans="1:9" x14ac:dyDescent="0.2">
      <c r="A87" s="388" t="s">
        <v>37</v>
      </c>
      <c r="B87" s="389"/>
      <c r="C87" s="389"/>
      <c r="D87" s="390"/>
      <c r="E87" s="35"/>
      <c r="F87" s="190">
        <f>514.48*('PPI Adj'!D6)</f>
        <v>600.39816000000008</v>
      </c>
      <c r="G87" s="187"/>
      <c r="H87" s="190">
        <f>514.48*('PPI Adj'!D6)</f>
        <v>600.39816000000008</v>
      </c>
      <c r="I87" s="75"/>
    </row>
    <row r="88" spans="1:9" x14ac:dyDescent="0.2">
      <c r="A88" s="388" t="s">
        <v>38</v>
      </c>
      <c r="B88" s="389"/>
      <c r="C88" s="389"/>
      <c r="D88" s="390"/>
      <c r="E88" s="35"/>
      <c r="F88" s="190" t="s">
        <v>183</v>
      </c>
      <c r="G88" s="187"/>
      <c r="H88" s="190" t="s">
        <v>183</v>
      </c>
      <c r="I88" s="75"/>
    </row>
    <row r="89" spans="1:9" x14ac:dyDescent="0.2">
      <c r="A89" s="388" t="s">
        <v>39</v>
      </c>
      <c r="B89" s="389"/>
      <c r="C89" s="389"/>
      <c r="D89" s="390"/>
      <c r="E89" s="34"/>
      <c r="F89" s="190">
        <f>669.22*('PPI Adj'!D6)</f>
        <v>780.97974000000011</v>
      </c>
      <c r="G89" s="187"/>
      <c r="H89" s="190">
        <f>669.22*('PPI Adj'!D6)</f>
        <v>780.97974000000011</v>
      </c>
      <c r="I89" s="75"/>
    </row>
    <row r="90" spans="1:9" x14ac:dyDescent="0.2">
      <c r="A90" s="388" t="s">
        <v>90</v>
      </c>
      <c r="B90" s="389"/>
      <c r="C90" s="389"/>
      <c r="D90" s="390"/>
      <c r="E90" s="35"/>
      <c r="F90" s="190">
        <f>230.63*('PPI Adj'!D6)</f>
        <v>269.14521000000002</v>
      </c>
      <c r="G90" s="187"/>
      <c r="H90" s="190">
        <f>230.63*('PPI Adj'!D6)</f>
        <v>269.14521000000002</v>
      </c>
      <c r="I90" s="75"/>
    </row>
    <row r="91" spans="1:9" x14ac:dyDescent="0.2">
      <c r="A91" s="388" t="s">
        <v>88</v>
      </c>
      <c r="B91" s="389"/>
      <c r="C91" s="389"/>
      <c r="D91" s="390"/>
      <c r="E91" s="34"/>
      <c r="F91" s="190" t="s">
        <v>181</v>
      </c>
      <c r="G91" s="187"/>
      <c r="H91" s="190" t="s">
        <v>181</v>
      </c>
      <c r="I91" s="75"/>
    </row>
    <row r="92" spans="1:9" x14ac:dyDescent="0.2">
      <c r="A92" s="388" t="s">
        <v>40</v>
      </c>
      <c r="B92" s="389"/>
      <c r="C92" s="389"/>
      <c r="D92" s="390"/>
      <c r="E92" s="34"/>
      <c r="F92" s="190">
        <f>157.7*('PPI Adj'!D6)</f>
        <v>184.0359</v>
      </c>
      <c r="G92" s="187"/>
      <c r="H92" s="190">
        <f>157.7*('PPI Adj'!D6)</f>
        <v>184.0359</v>
      </c>
      <c r="I92" s="75"/>
    </row>
    <row r="93" spans="1:9" x14ac:dyDescent="0.2">
      <c r="A93" s="388" t="s">
        <v>14</v>
      </c>
      <c r="B93" s="389"/>
      <c r="C93" s="389"/>
      <c r="D93" s="390"/>
      <c r="E93" s="34"/>
      <c r="F93" s="190">
        <f>5658.67*('PPI Adj'!D6)</f>
        <v>6603.6678900000006</v>
      </c>
      <c r="G93" s="187"/>
      <c r="H93" s="190">
        <f>5658.67*('PPI Adj'!D6)</f>
        <v>6603.6678900000006</v>
      </c>
      <c r="I93" s="75"/>
    </row>
    <row r="94" spans="1:9" x14ac:dyDescent="0.2">
      <c r="A94" s="388" t="s">
        <v>91</v>
      </c>
      <c r="B94" s="389"/>
      <c r="C94" s="389"/>
      <c r="D94" s="390"/>
      <c r="E94" s="34"/>
      <c r="F94" s="190">
        <f>1800*('PPI Adj'!D6)</f>
        <v>2100.6</v>
      </c>
      <c r="G94" s="187"/>
      <c r="H94" s="190">
        <f>1800*('PPI Adj'!D6)</f>
        <v>2100.6</v>
      </c>
      <c r="I94" s="75"/>
    </row>
    <row r="95" spans="1:9" x14ac:dyDescent="0.2">
      <c r="A95" s="394" t="s">
        <v>275</v>
      </c>
      <c r="B95" s="395"/>
      <c r="C95" s="395"/>
      <c r="D95" s="396"/>
      <c r="E95" s="34"/>
      <c r="F95" s="200">
        <f>-473.13*('PPI Adj'!D6)</f>
        <v>-552.14270999999997</v>
      </c>
      <c r="G95" s="187"/>
      <c r="H95" s="200">
        <f>-473.13*('PPI Adj'!D6)</f>
        <v>-552.14270999999997</v>
      </c>
      <c r="I95" s="75"/>
    </row>
    <row r="96" spans="1:9" ht="13.5" thickBot="1" x14ac:dyDescent="0.25">
      <c r="A96" s="391" t="s">
        <v>92</v>
      </c>
      <c r="B96" s="392"/>
      <c r="C96" s="392"/>
      <c r="D96" s="393"/>
      <c r="E96" s="35"/>
      <c r="F96" s="191">
        <f>1427.13*('PPI Adj'!D6)</f>
        <v>1665.4607100000003</v>
      </c>
      <c r="G96" s="187"/>
      <c r="H96" s="191">
        <f>1427.13*('PPI Adj'!D6)</f>
        <v>1665.4607100000003</v>
      </c>
      <c r="I96" s="75"/>
    </row>
    <row r="97" spans="1:8" ht="13.5" thickBot="1" x14ac:dyDescent="0.25"/>
    <row r="98" spans="1:8" s="17" customFormat="1" ht="32.25" thickBot="1" x14ac:dyDescent="0.3">
      <c r="A98" s="373" t="s">
        <v>166</v>
      </c>
      <c r="B98" s="374"/>
      <c r="C98" s="374"/>
      <c r="D98" s="375"/>
      <c r="E98" s="38"/>
      <c r="F98" s="196" t="s">
        <v>361</v>
      </c>
      <c r="G98" s="211"/>
      <c r="H98" s="196" t="s">
        <v>387</v>
      </c>
    </row>
    <row r="99" spans="1:8" s="3" customFormat="1" ht="15" customHeight="1" thickBot="1" x14ac:dyDescent="0.3">
      <c r="A99" s="52" t="s">
        <v>33</v>
      </c>
      <c r="B99" s="24" t="s">
        <v>7</v>
      </c>
      <c r="C99" s="397" t="s">
        <v>165</v>
      </c>
      <c r="D99" s="398"/>
      <c r="E99" s="39"/>
      <c r="F99" s="188" t="s">
        <v>17</v>
      </c>
      <c r="G99" s="212"/>
      <c r="H99" s="188" t="s">
        <v>17</v>
      </c>
    </row>
    <row r="100" spans="1:8" s="13" customFormat="1" ht="29.45" customHeight="1" thickBot="1" x14ac:dyDescent="0.3">
      <c r="A100" s="53" t="s">
        <v>82</v>
      </c>
      <c r="B100" s="16" t="s">
        <v>130</v>
      </c>
      <c r="C100" s="399"/>
      <c r="D100" s="400"/>
      <c r="E100" s="35"/>
      <c r="F100" s="184" t="s">
        <v>181</v>
      </c>
      <c r="G100" s="204"/>
      <c r="H100" s="184" t="s">
        <v>181</v>
      </c>
    </row>
    <row r="101" spans="1:8" s="13" customFormat="1" ht="42" customHeight="1" thickBot="1" x14ac:dyDescent="0.3">
      <c r="A101" s="53" t="s">
        <v>83</v>
      </c>
      <c r="B101" s="23" t="s">
        <v>146</v>
      </c>
      <c r="C101" s="399"/>
      <c r="D101" s="400"/>
      <c r="E101" s="35"/>
      <c r="F101" s="184" t="s">
        <v>346</v>
      </c>
      <c r="G101" s="204"/>
      <c r="H101" s="184" t="s">
        <v>346</v>
      </c>
    </row>
    <row r="102" spans="1:8" s="13" customFormat="1" ht="27" customHeight="1" thickBot="1" x14ac:dyDescent="0.3">
      <c r="A102" s="50" t="s">
        <v>34</v>
      </c>
      <c r="B102" s="30" t="s">
        <v>107</v>
      </c>
      <c r="C102" s="380" t="s">
        <v>30</v>
      </c>
      <c r="D102" s="381"/>
      <c r="E102" s="34"/>
      <c r="F102" s="184" t="s">
        <v>347</v>
      </c>
      <c r="G102" s="204"/>
      <c r="H102" s="184" t="s">
        <v>347</v>
      </c>
    </row>
    <row r="103" spans="1:8" s="13" customFormat="1" ht="53.45" customHeight="1" thickBot="1" x14ac:dyDescent="0.3">
      <c r="A103" s="50" t="s">
        <v>35</v>
      </c>
      <c r="B103" s="30" t="s">
        <v>97</v>
      </c>
      <c r="C103" s="368"/>
      <c r="D103" s="369"/>
      <c r="E103" s="35"/>
      <c r="F103" s="183" t="s">
        <v>348</v>
      </c>
      <c r="G103" s="204"/>
      <c r="H103" s="183" t="s">
        <v>348</v>
      </c>
    </row>
    <row r="104" spans="1:8" s="13" customFormat="1" ht="32.1" customHeight="1" thickBot="1" x14ac:dyDescent="0.3">
      <c r="A104" s="50" t="s">
        <v>36</v>
      </c>
      <c r="B104" s="30" t="s">
        <v>84</v>
      </c>
      <c r="C104" s="380" t="s">
        <v>99</v>
      </c>
      <c r="D104" s="381"/>
      <c r="E104" s="34"/>
      <c r="F104" s="184" t="s">
        <v>378</v>
      </c>
      <c r="G104" s="204"/>
      <c r="H104" s="184" t="s">
        <v>378</v>
      </c>
    </row>
    <row r="105" spans="1:8" s="13" customFormat="1" ht="12.75" customHeight="1" x14ac:dyDescent="0.25">
      <c r="A105" s="354" t="s">
        <v>60</v>
      </c>
      <c r="B105" s="356" t="s">
        <v>133</v>
      </c>
      <c r="C105" s="358" t="s">
        <v>176</v>
      </c>
      <c r="D105" s="359"/>
      <c r="E105" s="34"/>
      <c r="F105" s="183" t="s">
        <v>379</v>
      </c>
      <c r="G105" s="204"/>
      <c r="H105" s="183" t="s">
        <v>379</v>
      </c>
    </row>
    <row r="106" spans="1:8" s="13" customFormat="1" ht="12.75" customHeight="1" x14ac:dyDescent="0.25">
      <c r="A106" s="362"/>
      <c r="B106" s="363"/>
      <c r="C106" s="364" t="s">
        <v>177</v>
      </c>
      <c r="D106" s="365"/>
      <c r="E106" s="34"/>
      <c r="F106" s="169">
        <v>2470</v>
      </c>
      <c r="G106" s="204"/>
      <c r="H106" s="169">
        <v>2470</v>
      </c>
    </row>
    <row r="107" spans="1:8" s="13" customFormat="1" ht="12.75" customHeight="1" x14ac:dyDescent="0.25">
      <c r="A107" s="362"/>
      <c r="B107" s="363"/>
      <c r="C107" s="364" t="s">
        <v>114</v>
      </c>
      <c r="D107" s="365"/>
      <c r="E107" s="34"/>
      <c r="F107" s="169" t="s">
        <v>380</v>
      </c>
      <c r="G107" s="204"/>
      <c r="H107" s="169" t="s">
        <v>380</v>
      </c>
    </row>
    <row r="108" spans="1:8" s="13" customFormat="1" ht="29.1" customHeight="1" thickBot="1" x14ac:dyDescent="0.3">
      <c r="A108" s="355"/>
      <c r="B108" s="357"/>
      <c r="C108" s="352" t="s">
        <v>115</v>
      </c>
      <c r="D108" s="353"/>
      <c r="E108" s="34"/>
      <c r="F108" s="174" t="s">
        <v>381</v>
      </c>
      <c r="G108" s="204"/>
      <c r="H108" s="174" t="s">
        <v>381</v>
      </c>
    </row>
    <row r="109" spans="1:8" s="13" customFormat="1" ht="12.75" customHeight="1" x14ac:dyDescent="0.25">
      <c r="A109" s="354" t="s">
        <v>61</v>
      </c>
      <c r="B109" s="356" t="s">
        <v>134</v>
      </c>
      <c r="C109" s="358" t="s">
        <v>174</v>
      </c>
      <c r="D109" s="359"/>
      <c r="E109" s="34"/>
      <c r="F109" s="183"/>
      <c r="G109" s="204"/>
      <c r="H109" s="183"/>
    </row>
    <row r="110" spans="1:8" s="13" customFormat="1" ht="12.75" customHeight="1" x14ac:dyDescent="0.25">
      <c r="A110" s="362"/>
      <c r="B110" s="363"/>
      <c r="C110" s="364" t="s">
        <v>175</v>
      </c>
      <c r="D110" s="365"/>
      <c r="E110" s="34"/>
      <c r="F110" s="185"/>
      <c r="G110" s="204"/>
      <c r="H110" s="185"/>
    </row>
    <row r="111" spans="1:8" s="13" customFormat="1" ht="12.75" customHeight="1" x14ac:dyDescent="0.25">
      <c r="A111" s="362"/>
      <c r="B111" s="363"/>
      <c r="C111" s="364" t="s">
        <v>176</v>
      </c>
      <c r="D111" s="365"/>
      <c r="E111" s="34"/>
      <c r="F111" s="185"/>
      <c r="G111" s="204"/>
      <c r="H111" s="185"/>
    </row>
    <row r="112" spans="1:8" s="13" customFormat="1" ht="12.75" customHeight="1" x14ac:dyDescent="0.25">
      <c r="A112" s="362"/>
      <c r="B112" s="363"/>
      <c r="C112" s="364" t="s">
        <v>177</v>
      </c>
      <c r="D112" s="365"/>
      <c r="E112" s="34"/>
      <c r="F112" s="169"/>
      <c r="G112" s="204"/>
      <c r="H112" s="169"/>
    </row>
    <row r="113" spans="1:8" s="13" customFormat="1" ht="12.75" customHeight="1" x14ac:dyDescent="0.25">
      <c r="A113" s="362"/>
      <c r="B113" s="363"/>
      <c r="C113" s="364" t="s">
        <v>112</v>
      </c>
      <c r="D113" s="365"/>
      <c r="E113" s="34"/>
      <c r="F113" s="169"/>
      <c r="G113" s="204"/>
      <c r="H113" s="169"/>
    </row>
    <row r="114" spans="1:8" s="13" customFormat="1" ht="12.75" customHeight="1" x14ac:dyDescent="0.25">
      <c r="A114" s="362"/>
      <c r="B114" s="363"/>
      <c r="C114" s="364" t="s">
        <v>113</v>
      </c>
      <c r="D114" s="365"/>
      <c r="E114" s="34"/>
      <c r="F114" s="185"/>
      <c r="G114" s="204"/>
      <c r="H114" s="185"/>
    </row>
    <row r="115" spans="1:8" s="13" customFormat="1" ht="12.75" customHeight="1" x14ac:dyDescent="0.25">
      <c r="A115" s="362"/>
      <c r="B115" s="363"/>
      <c r="C115" s="364" t="s">
        <v>114</v>
      </c>
      <c r="D115" s="365"/>
      <c r="E115" s="34"/>
      <c r="F115" s="185"/>
      <c r="G115" s="204"/>
      <c r="H115" s="185"/>
    </row>
    <row r="116" spans="1:8" s="13" customFormat="1" ht="15.95" customHeight="1" thickBot="1" x14ac:dyDescent="0.3">
      <c r="A116" s="355"/>
      <c r="B116" s="357"/>
      <c r="C116" s="352" t="s">
        <v>115</v>
      </c>
      <c r="D116" s="353"/>
      <c r="E116" s="34"/>
      <c r="F116" s="174"/>
      <c r="G116" s="204"/>
      <c r="H116" s="174"/>
    </row>
    <row r="117" spans="1:8" s="13" customFormat="1" ht="144.94999999999999" customHeight="1" thickBot="1" x14ac:dyDescent="0.3">
      <c r="A117" s="54" t="s">
        <v>86</v>
      </c>
      <c r="B117" s="18" t="s">
        <v>143</v>
      </c>
      <c r="C117" s="380" t="s">
        <v>104</v>
      </c>
      <c r="D117" s="381"/>
      <c r="E117" s="34"/>
      <c r="F117" s="183" t="s">
        <v>353</v>
      </c>
      <c r="G117" s="204"/>
      <c r="H117" s="183" t="s">
        <v>353</v>
      </c>
    </row>
    <row r="118" spans="1:8" ht="170.1" customHeight="1" thickBot="1" x14ac:dyDescent="0.25">
      <c r="A118" s="50" t="s">
        <v>85</v>
      </c>
      <c r="B118" s="14" t="s">
        <v>170</v>
      </c>
      <c r="C118" s="380" t="s">
        <v>104</v>
      </c>
      <c r="D118" s="381"/>
      <c r="E118" s="34"/>
      <c r="F118" s="184" t="s">
        <v>355</v>
      </c>
      <c r="H118" s="184" t="s">
        <v>355</v>
      </c>
    </row>
    <row r="119" spans="1:8" x14ac:dyDescent="0.2">
      <c r="A119" s="354" t="s">
        <v>13</v>
      </c>
      <c r="B119" s="356" t="s">
        <v>98</v>
      </c>
      <c r="C119" s="358" t="s">
        <v>30</v>
      </c>
      <c r="D119" s="359"/>
      <c r="E119" s="34"/>
      <c r="F119" s="183" t="s">
        <v>354</v>
      </c>
      <c r="H119" s="183" t="s">
        <v>354</v>
      </c>
    </row>
    <row r="120" spans="1:8" ht="29.45" customHeight="1" thickBot="1" x14ac:dyDescent="0.25">
      <c r="A120" s="355"/>
      <c r="B120" s="357"/>
      <c r="C120" s="352" t="s">
        <v>109</v>
      </c>
      <c r="D120" s="353"/>
      <c r="E120" s="34"/>
      <c r="F120" s="174" t="s">
        <v>355</v>
      </c>
      <c r="H120" s="174" t="s">
        <v>355</v>
      </c>
    </row>
    <row r="121" spans="1:8" ht="67.5" customHeight="1" thickBot="1" x14ac:dyDescent="0.25">
      <c r="A121" s="50" t="s">
        <v>37</v>
      </c>
      <c r="B121" s="30" t="s">
        <v>135</v>
      </c>
      <c r="C121" s="368"/>
      <c r="D121" s="369"/>
      <c r="E121" s="35"/>
      <c r="F121" s="184" t="s">
        <v>382</v>
      </c>
      <c r="H121" s="184" t="s">
        <v>382</v>
      </c>
    </row>
    <row r="122" spans="1:8" ht="41.1" customHeight="1" thickBot="1" x14ac:dyDescent="0.25">
      <c r="A122" s="50" t="s">
        <v>38</v>
      </c>
      <c r="B122" s="30" t="s">
        <v>87</v>
      </c>
      <c r="C122" s="368"/>
      <c r="D122" s="369"/>
      <c r="E122" s="35"/>
      <c r="F122" s="184" t="s">
        <v>348</v>
      </c>
      <c r="H122" s="184" t="s">
        <v>348</v>
      </c>
    </row>
    <row r="123" spans="1:8" ht="26.25" thickBot="1" x14ac:dyDescent="0.25">
      <c r="A123" s="50" t="s">
        <v>39</v>
      </c>
      <c r="B123" s="30" t="s">
        <v>106</v>
      </c>
      <c r="C123" s="380" t="s">
        <v>105</v>
      </c>
      <c r="D123" s="381"/>
      <c r="E123" s="34"/>
      <c r="F123" s="184" t="s">
        <v>184</v>
      </c>
      <c r="H123" s="184" t="s">
        <v>184</v>
      </c>
    </row>
    <row r="124" spans="1:8" ht="40.5" customHeight="1" thickBot="1" x14ac:dyDescent="0.25">
      <c r="A124" s="50" t="s">
        <v>90</v>
      </c>
      <c r="B124" s="30" t="s">
        <v>129</v>
      </c>
      <c r="C124" s="368"/>
      <c r="D124" s="369"/>
      <c r="E124" s="35"/>
      <c r="F124" s="184" t="s">
        <v>357</v>
      </c>
      <c r="H124" s="184" t="s">
        <v>357</v>
      </c>
    </row>
    <row r="125" spans="1:8" ht="27" customHeight="1" x14ac:dyDescent="0.2">
      <c r="A125" s="354" t="s">
        <v>88</v>
      </c>
      <c r="B125" s="356" t="s">
        <v>148</v>
      </c>
      <c r="C125" s="358" t="s">
        <v>100</v>
      </c>
      <c r="D125" s="359"/>
      <c r="E125" s="34"/>
      <c r="F125" s="183" t="s">
        <v>181</v>
      </c>
      <c r="H125" s="183" t="s">
        <v>181</v>
      </c>
    </row>
    <row r="126" spans="1:8" ht="108" customHeight="1" thickBot="1" x14ac:dyDescent="0.25">
      <c r="A126" s="355"/>
      <c r="B126" s="357"/>
      <c r="C126" s="352" t="s">
        <v>110</v>
      </c>
      <c r="D126" s="353"/>
      <c r="E126" s="34"/>
      <c r="F126" s="201"/>
      <c r="H126" s="201"/>
    </row>
    <row r="127" spans="1:8" ht="26.25" thickBot="1" x14ac:dyDescent="0.25">
      <c r="A127" s="50" t="s">
        <v>40</v>
      </c>
      <c r="B127" s="30" t="s">
        <v>137</v>
      </c>
      <c r="C127" s="380" t="s">
        <v>100</v>
      </c>
      <c r="D127" s="381"/>
      <c r="E127" s="34"/>
      <c r="F127" s="174" t="s">
        <v>358</v>
      </c>
      <c r="H127" s="174" t="s">
        <v>358</v>
      </c>
    </row>
    <row r="128" spans="1:8" ht="53.45" customHeight="1" thickBot="1" x14ac:dyDescent="0.25">
      <c r="A128" s="50" t="s">
        <v>14</v>
      </c>
      <c r="B128" s="30" t="s">
        <v>138</v>
      </c>
      <c r="C128" s="380" t="s">
        <v>139</v>
      </c>
      <c r="D128" s="381"/>
      <c r="E128" s="34"/>
      <c r="F128" s="184">
        <v>2</v>
      </c>
      <c r="H128" s="184">
        <v>2</v>
      </c>
    </row>
    <row r="129" spans="1:8" ht="67.5" customHeight="1" thickBot="1" x14ac:dyDescent="0.25">
      <c r="A129" s="50" t="s">
        <v>91</v>
      </c>
      <c r="B129" s="30" t="s">
        <v>144</v>
      </c>
      <c r="C129" s="380" t="s">
        <v>100</v>
      </c>
      <c r="D129" s="381"/>
      <c r="E129" s="34"/>
      <c r="F129" s="184" t="s">
        <v>359</v>
      </c>
      <c r="H129" s="184" t="s">
        <v>359</v>
      </c>
    </row>
    <row r="130" spans="1:8" ht="69" customHeight="1" thickBot="1" x14ac:dyDescent="0.25">
      <c r="A130" s="50" t="s">
        <v>92</v>
      </c>
      <c r="B130" s="30" t="s">
        <v>145</v>
      </c>
      <c r="C130" s="368"/>
      <c r="D130" s="369"/>
      <c r="E130" s="35"/>
      <c r="F130" s="184"/>
      <c r="H130" s="184"/>
    </row>
  </sheetData>
  <sheetProtection algorithmName="SHA-512" hashValue="BEkuv6S950UzQOlxqsCseDQu4h2JrApb0hlKEoN0LjFCht8n3vRncllwmjGpnkDspGws5WiruCcC1h/cra35YA==" saltValue="XSgGHY+l6CXB5w/mvRR+mA==" spinCount="100000" sheet="1" objects="1" scenarios="1"/>
  <dataConsolidate/>
  <mergeCells count="145">
    <mergeCell ref="C127:D127"/>
    <mergeCell ref="C128:D128"/>
    <mergeCell ref="C129:D129"/>
    <mergeCell ref="C130:D130"/>
    <mergeCell ref="A87:D87"/>
    <mergeCell ref="C121:D121"/>
    <mergeCell ref="C122:D122"/>
    <mergeCell ref="C123:D123"/>
    <mergeCell ref="C124:D124"/>
    <mergeCell ref="A125:A126"/>
    <mergeCell ref="B125:B126"/>
    <mergeCell ref="C125:D125"/>
    <mergeCell ref="C126:D126"/>
    <mergeCell ref="C117:D117"/>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99:D99"/>
    <mergeCell ref="C100:D100"/>
    <mergeCell ref="C101:D101"/>
    <mergeCell ref="C102:D102"/>
    <mergeCell ref="C103:D103"/>
    <mergeCell ref="C104:D104"/>
    <mergeCell ref="A105:A108"/>
    <mergeCell ref="B105:B108"/>
    <mergeCell ref="C105:D105"/>
    <mergeCell ref="C106:D106"/>
    <mergeCell ref="C107:D107"/>
    <mergeCell ref="C108:D108"/>
    <mergeCell ref="A81:D81"/>
    <mergeCell ref="A82:D82"/>
    <mergeCell ref="A83:D83"/>
    <mergeCell ref="A84:D84"/>
    <mergeCell ref="A85:D85"/>
    <mergeCell ref="A93:D93"/>
    <mergeCell ref="A94:D94"/>
    <mergeCell ref="A96:D96"/>
    <mergeCell ref="A98:D98"/>
    <mergeCell ref="A86:D86"/>
    <mergeCell ref="A88:D88"/>
    <mergeCell ref="A89:D89"/>
    <mergeCell ref="A90:D90"/>
    <mergeCell ref="A91:D91"/>
    <mergeCell ref="A92:D92"/>
    <mergeCell ref="A95:D95"/>
    <mergeCell ref="A77:D77"/>
    <mergeCell ref="A78:D78"/>
    <mergeCell ref="A79:D79"/>
    <mergeCell ref="C70:D70"/>
    <mergeCell ref="C71:D71"/>
    <mergeCell ref="C72:D72"/>
    <mergeCell ref="C73:D73"/>
    <mergeCell ref="A75:D75"/>
    <mergeCell ref="A80:D80"/>
    <mergeCell ref="C62:D62"/>
    <mergeCell ref="C63:D63"/>
    <mergeCell ref="C64:D64"/>
    <mergeCell ref="C65:D65"/>
    <mergeCell ref="C66:D66"/>
    <mergeCell ref="C67:D67"/>
    <mergeCell ref="C68:D68"/>
    <mergeCell ref="C69:D69"/>
    <mergeCell ref="A76:D76"/>
    <mergeCell ref="A55:A57"/>
    <mergeCell ref="B55:B57"/>
    <mergeCell ref="C55:D55"/>
    <mergeCell ref="C56:D56"/>
    <mergeCell ref="C57:D57"/>
    <mergeCell ref="C58:D58"/>
    <mergeCell ref="C59:D59"/>
    <mergeCell ref="C60:D60"/>
    <mergeCell ref="C61:D61"/>
    <mergeCell ref="A49:A51"/>
    <mergeCell ref="B49:B51"/>
    <mergeCell ref="C49:D49"/>
    <mergeCell ref="C50:D50"/>
    <mergeCell ref="C51:D51"/>
    <mergeCell ref="C52:D52"/>
    <mergeCell ref="A53:A54"/>
    <mergeCell ref="B53:B54"/>
    <mergeCell ref="C53:D53"/>
    <mergeCell ref="C54:D54"/>
    <mergeCell ref="C40:D40"/>
    <mergeCell ref="A41:A48"/>
    <mergeCell ref="B41:B48"/>
    <mergeCell ref="C41:D41"/>
    <mergeCell ref="C42:D42"/>
    <mergeCell ref="C43:D43"/>
    <mergeCell ref="C44:D44"/>
    <mergeCell ref="C45:D45"/>
    <mergeCell ref="C46:D46"/>
    <mergeCell ref="C47:D47"/>
    <mergeCell ref="C48:D48"/>
    <mergeCell ref="A38:A39"/>
    <mergeCell ref="B38:B39"/>
    <mergeCell ref="C38:D38"/>
    <mergeCell ref="C39:D39"/>
    <mergeCell ref="A31:A35"/>
    <mergeCell ref="B31:B35"/>
    <mergeCell ref="C31:D31"/>
    <mergeCell ref="C32:D32"/>
    <mergeCell ref="C33:D33"/>
    <mergeCell ref="C34:D34"/>
    <mergeCell ref="A36:A37"/>
    <mergeCell ref="B36:B37"/>
    <mergeCell ref="C36:D36"/>
    <mergeCell ref="C37:D37"/>
    <mergeCell ref="B17:D17"/>
    <mergeCell ref="C26:D26"/>
    <mergeCell ref="C35:D35"/>
    <mergeCell ref="C27:D27"/>
    <mergeCell ref="A28:A29"/>
    <mergeCell ref="B28:B29"/>
    <mergeCell ref="C28:D28"/>
    <mergeCell ref="C29:D29"/>
    <mergeCell ref="C30:D30"/>
    <mergeCell ref="B21:D21"/>
    <mergeCell ref="B22:D22"/>
    <mergeCell ref="B23:D23"/>
    <mergeCell ref="A25:D25"/>
    <mergeCell ref="A19:D19"/>
    <mergeCell ref="A3:D3"/>
    <mergeCell ref="A4:D4"/>
    <mergeCell ref="A6:D6"/>
    <mergeCell ref="B12:D12"/>
    <mergeCell ref="B13:D13"/>
    <mergeCell ref="B14:D14"/>
    <mergeCell ref="B15:D15"/>
    <mergeCell ref="B16:D16"/>
    <mergeCell ref="B8:D8"/>
    <mergeCell ref="B9:D9"/>
    <mergeCell ref="B10:D10"/>
    <mergeCell ref="B11:D11"/>
  </mergeCells>
  <conditionalFormatting sqref="C52 C60">
    <cfRule type="expression" dxfId="301" priority="103">
      <formula>#REF!="NO"</formula>
    </cfRule>
  </conditionalFormatting>
  <conditionalFormatting sqref="C100:F130">
    <cfRule type="expression" dxfId="300" priority="16">
      <formula>#REF!="NO"</formula>
    </cfRule>
  </conditionalFormatting>
  <conditionalFormatting sqref="C27:I73">
    <cfRule type="expression" dxfId="299" priority="18">
      <formula>#REF!="NO"</formula>
    </cfRule>
  </conditionalFormatting>
  <conditionalFormatting sqref="E77:F96">
    <cfRule type="expression" dxfId="298" priority="6">
      <formula>#REF!="NO"</formula>
    </cfRule>
  </conditionalFormatting>
  <conditionalFormatting sqref="F8:F17">
    <cfRule type="expression" dxfId="297" priority="98">
      <formula>#REF!="NO"</formula>
    </cfRule>
  </conditionalFormatting>
  <conditionalFormatting sqref="F21:F23">
    <cfRule type="expression" dxfId="296" priority="99">
      <formula>#REF!="NO"</formula>
    </cfRule>
  </conditionalFormatting>
  <conditionalFormatting sqref="H8:H17">
    <cfRule type="expression" dxfId="295" priority="37">
      <formula>#REF!="NO"</formula>
    </cfRule>
  </conditionalFormatting>
  <conditionalFormatting sqref="H21:H23">
    <cfRule type="expression" dxfId="294" priority="50">
      <formula>#REF!="NO"</formula>
    </cfRule>
  </conditionalFormatting>
  <conditionalFormatting sqref="H77:H96">
    <cfRule type="expression" dxfId="293" priority="17">
      <formula>#REF!="NO"</formula>
    </cfRule>
  </conditionalFormatting>
  <conditionalFormatting sqref="H100:H130">
    <cfRule type="expression" dxfId="292" priority="1">
      <formula>#REF!="NO"</formula>
    </cfRule>
  </conditionalFormatting>
  <dataValidations disablePrompts="1" count="3">
    <dataValidation type="decimal" operator="greaterThanOrEqual" allowBlank="1" showInputMessage="1" showErrorMessage="1" error="The Pickup Allowance cannot be a negative number." sqref="F16 H16" xr:uid="{00000000-0002-0000-0200-000002000000}">
      <formula1>0</formula1>
    </dataValidation>
    <dataValidation type="decimal" allowBlank="1" showInputMessage="1" showErrorMessage="1" error="Invalid Entry - Bidder must enter a value that is greater than $0" sqref="F21 H21" xr:uid="{00000000-0002-0000-0200-000001000000}">
      <formula1>0</formula1>
      <formula2>9E+21</formula2>
    </dataValidation>
    <dataValidation type="decimal" allowBlank="1" showInputMessage="1" showErrorMessage="1" error="The Additional Options NYS Discount entered must be greater than 0%, or less than or equal to 100%." sqref="F23 H23" xr:uid="{00000000-0002-0000-0200-000000000000}">
      <formula1>0.01</formula1>
      <formula2>100</formula2>
    </dataValidation>
  </dataValidations>
  <pageMargins left="0.25" right="0.25" top="0.5" bottom="0.25" header="0.3" footer="0.3"/>
  <pageSetup scale="80" fitToHeight="0" orientation="landscape" r:id="rId1"/>
  <rowBreaks count="1" manualBreakCount="1">
    <brk id="24" max="1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66FF"/>
    <pageSetUpPr autoPageBreaks="0" fitToPage="1"/>
  </sheetPr>
  <dimension ref="A1:H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2" style="187" customWidth="1"/>
    <col min="7" max="7" width="2.7109375" style="2" customWidth="1"/>
    <col min="8" max="16384" width="9.140625" style="2"/>
  </cols>
  <sheetData>
    <row r="1" spans="1:8" ht="18" customHeight="1" x14ac:dyDescent="0.2">
      <c r="A1" s="165" t="str">
        <f>'A (Item 2-G)'!$A$1</f>
        <v>GROUP 40524-23254, SCHOOL BUSES (Statewide)                                                             Attachment 1 - Specifications and Pricing (Revised October 15, 2026)</v>
      </c>
      <c r="F1" s="210"/>
    </row>
    <row r="2" spans="1:8" s="25" customFormat="1" ht="18" customHeight="1" thickBot="1" x14ac:dyDescent="0.3">
      <c r="A2" s="316" t="s">
        <v>519</v>
      </c>
      <c r="B2" s="26"/>
      <c r="C2" s="26"/>
      <c r="D2" s="26"/>
      <c r="E2" s="26"/>
      <c r="F2" s="314"/>
      <c r="G2" s="26"/>
      <c r="H2" s="26"/>
    </row>
    <row r="3" spans="1:8" ht="24" thickBot="1" x14ac:dyDescent="0.25">
      <c r="A3" s="340" t="s">
        <v>171</v>
      </c>
      <c r="B3" s="341"/>
      <c r="C3" s="341"/>
      <c r="D3" s="342"/>
      <c r="E3" s="9"/>
      <c r="F3" s="312"/>
      <c r="G3" s="9"/>
    </row>
    <row r="4" spans="1:8" ht="51" customHeight="1" thickBot="1" x14ac:dyDescent="0.25">
      <c r="A4" s="343" t="s">
        <v>172</v>
      </c>
      <c r="B4" s="344"/>
      <c r="C4" s="344"/>
      <c r="D4" s="345"/>
      <c r="E4" s="9"/>
      <c r="F4" s="312"/>
      <c r="G4" s="9"/>
    </row>
    <row r="5" spans="1:8" s="4" customFormat="1" ht="11.25" customHeight="1" thickBot="1" x14ac:dyDescent="0.3">
      <c r="A5" s="57"/>
      <c r="B5" s="57"/>
      <c r="C5" s="57"/>
      <c r="D5" s="57"/>
      <c r="E5" s="57"/>
      <c r="F5" s="313"/>
      <c r="G5" s="57"/>
    </row>
    <row r="6" spans="1:8" s="8" customFormat="1" ht="32.25" thickBot="1" x14ac:dyDescent="0.25">
      <c r="A6" s="346" t="s">
        <v>151</v>
      </c>
      <c r="B6" s="347"/>
      <c r="C6" s="347"/>
      <c r="D6" s="348"/>
      <c r="E6" s="36"/>
      <c r="F6" s="196" t="s">
        <v>392</v>
      </c>
      <c r="G6" s="36"/>
    </row>
    <row r="7" spans="1:8" s="4" customFormat="1" ht="15" customHeight="1" thickBot="1" x14ac:dyDescent="0.3">
      <c r="A7" s="41" t="s">
        <v>6</v>
      </c>
      <c r="B7" s="27" t="s">
        <v>165</v>
      </c>
      <c r="C7" s="32"/>
      <c r="D7" s="40"/>
      <c r="E7" s="37"/>
      <c r="F7" s="188" t="s">
        <v>17</v>
      </c>
      <c r="G7" s="37"/>
    </row>
    <row r="8" spans="1:8" ht="52.5" thickTop="1" thickBot="1" x14ac:dyDescent="0.25">
      <c r="A8" s="42" t="s">
        <v>9</v>
      </c>
      <c r="B8" s="337" t="s">
        <v>152</v>
      </c>
      <c r="C8" s="338"/>
      <c r="D8" s="339"/>
      <c r="E8" s="13"/>
      <c r="F8" s="167" t="s">
        <v>383</v>
      </c>
      <c r="G8" s="13"/>
    </row>
    <row r="9" spans="1:8" s="8" customFormat="1" ht="44.25" customHeight="1" thickTop="1" thickBot="1" x14ac:dyDescent="0.25">
      <c r="A9" s="42" t="s">
        <v>136</v>
      </c>
      <c r="B9" s="337" t="s">
        <v>191</v>
      </c>
      <c r="C9" s="338"/>
      <c r="D9" s="339"/>
      <c r="E9" s="13"/>
      <c r="F9" s="167" t="s">
        <v>393</v>
      </c>
      <c r="G9" s="13"/>
    </row>
    <row r="10" spans="1:8" ht="12.75" customHeight="1" thickTop="1" x14ac:dyDescent="0.2">
      <c r="A10" s="43" t="s">
        <v>0</v>
      </c>
      <c r="B10" s="328" t="s">
        <v>154</v>
      </c>
      <c r="C10" s="329"/>
      <c r="D10" s="330"/>
      <c r="E10" s="13"/>
      <c r="F10" s="169" t="s">
        <v>329</v>
      </c>
      <c r="G10" s="13"/>
    </row>
    <row r="11" spans="1:8" x14ac:dyDescent="0.2">
      <c r="A11" s="43" t="s">
        <v>1</v>
      </c>
      <c r="B11" s="328" t="s">
        <v>153</v>
      </c>
      <c r="C11" s="329"/>
      <c r="D11" s="330"/>
      <c r="E11" s="13"/>
      <c r="F11" s="169">
        <v>3500</v>
      </c>
      <c r="G11" s="13"/>
    </row>
    <row r="12" spans="1:8" ht="12.75" customHeight="1" thickBot="1" x14ac:dyDescent="0.25">
      <c r="A12" s="44" t="s">
        <v>2</v>
      </c>
      <c r="B12" s="331" t="s">
        <v>155</v>
      </c>
      <c r="C12" s="332"/>
      <c r="D12" s="333"/>
      <c r="E12" s="13"/>
      <c r="F12" s="170" t="s">
        <v>385</v>
      </c>
      <c r="G12" s="13"/>
    </row>
    <row r="13" spans="1:8" ht="13.5" thickTop="1" x14ac:dyDescent="0.2">
      <c r="A13" s="43" t="s">
        <v>3</v>
      </c>
      <c r="B13" s="328" t="s">
        <v>157</v>
      </c>
      <c r="C13" s="329"/>
      <c r="D13" s="330"/>
      <c r="E13" s="13"/>
      <c r="F13" s="169" t="s">
        <v>331</v>
      </c>
      <c r="G13" s="13"/>
    </row>
    <row r="14" spans="1:8" x14ac:dyDescent="0.2">
      <c r="A14" s="43" t="s">
        <v>4</v>
      </c>
      <c r="B14" s="328" t="s">
        <v>156</v>
      </c>
      <c r="C14" s="329"/>
      <c r="D14" s="330"/>
      <c r="E14" s="13"/>
      <c r="F14" s="169" t="s">
        <v>365</v>
      </c>
      <c r="G14" s="13"/>
    </row>
    <row r="15" spans="1:8" ht="15.75" customHeight="1" thickBot="1" x14ac:dyDescent="0.25">
      <c r="A15" s="45" t="s">
        <v>5</v>
      </c>
      <c r="B15" s="331" t="s">
        <v>158</v>
      </c>
      <c r="C15" s="332"/>
      <c r="D15" s="333"/>
      <c r="E15" s="13"/>
      <c r="F15" s="172" t="s">
        <v>394</v>
      </c>
      <c r="G15" s="13"/>
    </row>
    <row r="16" spans="1:8"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32.25" thickBot="1" x14ac:dyDescent="0.25">
      <c r="A19" s="346" t="s">
        <v>150</v>
      </c>
      <c r="B19" s="347"/>
      <c r="C19" s="347"/>
      <c r="D19" s="348"/>
      <c r="E19" s="36"/>
      <c r="F19" s="196" t="s">
        <v>392</v>
      </c>
      <c r="G19" s="36"/>
    </row>
    <row r="20" spans="1:7" s="4" customFormat="1" ht="15" customHeight="1" thickBot="1" x14ac:dyDescent="0.3">
      <c r="A20" s="55" t="s">
        <v>6</v>
      </c>
      <c r="B20" s="31" t="s">
        <v>165</v>
      </c>
      <c r="C20" s="33"/>
      <c r="D20" s="48"/>
      <c r="E20" s="37"/>
      <c r="F20" s="188" t="s">
        <v>17</v>
      </c>
      <c r="G20" s="37"/>
    </row>
    <row r="21" spans="1:7" ht="56.25" customHeight="1" x14ac:dyDescent="0.2">
      <c r="A21" s="46" t="s">
        <v>42</v>
      </c>
      <c r="B21" s="349" t="s">
        <v>161</v>
      </c>
      <c r="C21" s="350"/>
      <c r="D21" s="351"/>
      <c r="E21" s="13"/>
      <c r="F21" s="197">
        <f>77800*('PPI Adj'!D6)</f>
        <v>90792.6</v>
      </c>
      <c r="G21" s="13"/>
    </row>
    <row r="22" spans="1:7" ht="42.75" customHeight="1" x14ac:dyDescent="0.2">
      <c r="A22" s="43" t="s">
        <v>20</v>
      </c>
      <c r="B22" s="328" t="s">
        <v>162</v>
      </c>
      <c r="C22" s="329"/>
      <c r="D22" s="330"/>
      <c r="E22" s="13"/>
      <c r="F22" s="198" t="s">
        <v>181</v>
      </c>
      <c r="G22" s="13"/>
    </row>
    <row r="23" spans="1:7" ht="33" customHeight="1" thickBot="1" x14ac:dyDescent="0.25">
      <c r="A23" s="47" t="s">
        <v>41</v>
      </c>
      <c r="B23" s="370" t="s">
        <v>163</v>
      </c>
      <c r="C23" s="371"/>
      <c r="D23" s="372"/>
      <c r="E23" s="1"/>
      <c r="F23" s="179">
        <v>12</v>
      </c>
      <c r="G23" s="1"/>
    </row>
    <row r="24" spans="1:7" ht="13.5" thickBot="1" x14ac:dyDescent="0.25">
      <c r="A24" s="58"/>
      <c r="B24" s="1"/>
      <c r="C24" s="1"/>
      <c r="D24" s="1"/>
      <c r="E24" s="1"/>
      <c r="F24" s="180"/>
      <c r="G24" s="1"/>
    </row>
    <row r="25" spans="1:7" s="8" customFormat="1" ht="32.25" thickBot="1" x14ac:dyDescent="0.25">
      <c r="A25" s="373" t="s">
        <v>164</v>
      </c>
      <c r="B25" s="374"/>
      <c r="C25" s="374"/>
      <c r="D25" s="375"/>
      <c r="E25" s="38"/>
      <c r="F25" s="196" t="s">
        <v>392</v>
      </c>
      <c r="G25" s="38"/>
    </row>
    <row r="26" spans="1:7" s="3" customFormat="1" ht="15" customHeight="1" thickBot="1" x14ac:dyDescent="0.3">
      <c r="A26" s="55" t="s">
        <v>6</v>
      </c>
      <c r="B26" s="56" t="s">
        <v>7</v>
      </c>
      <c r="C26" s="376" t="s">
        <v>165</v>
      </c>
      <c r="D26" s="377"/>
      <c r="E26" s="39"/>
      <c r="F26" s="188" t="s">
        <v>17</v>
      </c>
      <c r="G26" s="39"/>
    </row>
    <row r="27" spans="1:7" s="13" customFormat="1" ht="39" thickBot="1" x14ac:dyDescent="0.3">
      <c r="A27" s="49" t="s">
        <v>8</v>
      </c>
      <c r="B27" s="29" t="s">
        <v>131</v>
      </c>
      <c r="C27" s="352" t="s">
        <v>118</v>
      </c>
      <c r="D27" s="353"/>
      <c r="E27" s="34"/>
      <c r="F27" s="184">
        <v>12300</v>
      </c>
      <c r="G27" s="34"/>
    </row>
    <row r="28" spans="1:7" s="13" customFormat="1" x14ac:dyDescent="0.25">
      <c r="A28" s="354" t="s">
        <v>21</v>
      </c>
      <c r="B28" s="356" t="s">
        <v>173</v>
      </c>
      <c r="C28" s="358" t="s">
        <v>67</v>
      </c>
      <c r="D28" s="359"/>
      <c r="E28" s="34"/>
      <c r="F28" s="183">
        <v>4</v>
      </c>
      <c r="G28" s="34"/>
    </row>
    <row r="29" spans="1:7" s="13" customFormat="1" ht="13.5" thickBot="1" x14ac:dyDescent="0.3">
      <c r="A29" s="355"/>
      <c r="B29" s="357"/>
      <c r="C29" s="352" t="s">
        <v>68</v>
      </c>
      <c r="D29" s="353"/>
      <c r="E29" s="34"/>
      <c r="F29" s="174">
        <v>24</v>
      </c>
      <c r="G29" s="34"/>
    </row>
    <row r="30" spans="1:7" s="13" customFormat="1" ht="13.5" thickBot="1" x14ac:dyDescent="0.3">
      <c r="A30" s="50" t="s">
        <v>123</v>
      </c>
      <c r="B30" s="30" t="s">
        <v>108</v>
      </c>
      <c r="C30" s="368"/>
      <c r="D30" s="369"/>
      <c r="E30" s="35"/>
      <c r="F30" s="184" t="s">
        <v>367</v>
      </c>
      <c r="G30" s="35"/>
    </row>
    <row r="31" spans="1:7" s="13" customFormat="1" x14ac:dyDescent="0.25">
      <c r="A31" s="354" t="s">
        <v>59</v>
      </c>
      <c r="B31" s="356"/>
      <c r="C31" s="358" t="s">
        <v>58</v>
      </c>
      <c r="D31" s="359"/>
      <c r="E31" s="34"/>
      <c r="F31" s="183">
        <v>159</v>
      </c>
      <c r="G31" s="34"/>
    </row>
    <row r="32" spans="1:7" s="13" customFormat="1" x14ac:dyDescent="0.25">
      <c r="A32" s="362"/>
      <c r="B32" s="363"/>
      <c r="C32" s="364" t="s">
        <v>57</v>
      </c>
      <c r="D32" s="365"/>
      <c r="E32" s="34"/>
      <c r="F32" s="169">
        <v>289</v>
      </c>
      <c r="G32" s="34"/>
    </row>
    <row r="33" spans="1:7" s="13" customFormat="1" x14ac:dyDescent="0.25">
      <c r="A33" s="362"/>
      <c r="B33" s="363"/>
      <c r="C33" s="364" t="s">
        <v>69</v>
      </c>
      <c r="D33" s="365"/>
      <c r="E33" s="34"/>
      <c r="F33" s="169">
        <v>93</v>
      </c>
      <c r="G33" s="34"/>
    </row>
    <row r="34" spans="1:7" s="13" customFormat="1" x14ac:dyDescent="0.25">
      <c r="A34" s="362"/>
      <c r="B34" s="363"/>
      <c r="C34" s="366" t="s">
        <v>70</v>
      </c>
      <c r="D34" s="367"/>
      <c r="E34" s="34"/>
      <c r="F34" s="169">
        <v>76</v>
      </c>
      <c r="G34" s="34"/>
    </row>
    <row r="35" spans="1:7" s="13" customFormat="1" ht="13.5" thickBot="1" x14ac:dyDescent="0.3">
      <c r="A35" s="355"/>
      <c r="B35" s="357"/>
      <c r="C35" s="352" t="s">
        <v>111</v>
      </c>
      <c r="D35" s="353"/>
      <c r="E35" s="34"/>
      <c r="F35" s="174">
        <v>80</v>
      </c>
      <c r="G35" s="34"/>
    </row>
    <row r="36" spans="1:7" s="13" customFormat="1" x14ac:dyDescent="0.25">
      <c r="A36" s="354" t="s">
        <v>11</v>
      </c>
      <c r="B36" s="356"/>
      <c r="C36" s="358" t="s">
        <v>24</v>
      </c>
      <c r="D36" s="359"/>
      <c r="E36" s="34"/>
      <c r="F36" s="183">
        <v>4300</v>
      </c>
      <c r="G36" s="34"/>
    </row>
    <row r="37" spans="1:7" s="13" customFormat="1" ht="13.5" thickBot="1" x14ac:dyDescent="0.3">
      <c r="A37" s="355"/>
      <c r="B37" s="357"/>
      <c r="C37" s="352" t="s">
        <v>22</v>
      </c>
      <c r="D37" s="353"/>
      <c r="E37" s="34"/>
      <c r="F37" s="174">
        <v>4300</v>
      </c>
      <c r="G37" s="34"/>
    </row>
    <row r="38" spans="1:7" s="13" customFormat="1" x14ac:dyDescent="0.25">
      <c r="A38" s="354" t="s">
        <v>16</v>
      </c>
      <c r="B38" s="356"/>
      <c r="C38" s="358" t="s">
        <v>24</v>
      </c>
      <c r="D38" s="359"/>
      <c r="E38" s="34"/>
      <c r="F38" s="183">
        <v>8600</v>
      </c>
      <c r="G38" s="34"/>
    </row>
    <row r="39" spans="1:7" s="13" customFormat="1" ht="13.5" thickBot="1" x14ac:dyDescent="0.3">
      <c r="A39" s="355"/>
      <c r="B39" s="357"/>
      <c r="C39" s="360" t="s">
        <v>23</v>
      </c>
      <c r="D39" s="361"/>
      <c r="E39" s="34"/>
      <c r="F39" s="174">
        <v>8600</v>
      </c>
      <c r="G39" s="34"/>
    </row>
    <row r="40" spans="1:7" s="13" customFormat="1" ht="13.5" thickBot="1" x14ac:dyDescent="0.3">
      <c r="A40" s="50" t="s">
        <v>52</v>
      </c>
      <c r="B40" s="30" t="s">
        <v>53</v>
      </c>
      <c r="C40" s="368"/>
      <c r="D40" s="369"/>
      <c r="E40" s="35"/>
      <c r="F40" s="184"/>
      <c r="G40" s="35"/>
    </row>
    <row r="41" spans="1:7" s="13" customFormat="1" ht="13.5" customHeight="1" thickBot="1" x14ac:dyDescent="0.3">
      <c r="A41" s="378" t="s">
        <v>12</v>
      </c>
      <c r="B41" s="379" t="s">
        <v>142</v>
      </c>
      <c r="C41" s="358" t="s">
        <v>174</v>
      </c>
      <c r="D41" s="359"/>
      <c r="E41" s="34"/>
      <c r="F41" s="183" t="s">
        <v>379</v>
      </c>
      <c r="G41" s="34"/>
    </row>
    <row r="42" spans="1:7" s="13" customFormat="1" ht="13.5" customHeight="1" thickBot="1" x14ac:dyDescent="0.3">
      <c r="A42" s="378"/>
      <c r="B42" s="379"/>
      <c r="C42" s="364" t="s">
        <v>175</v>
      </c>
      <c r="D42" s="365"/>
      <c r="E42" s="34"/>
      <c r="F42" s="169">
        <v>2680</v>
      </c>
      <c r="G42" s="34"/>
    </row>
    <row r="43" spans="1:7" s="13" customFormat="1" ht="13.5" customHeight="1" thickBot="1" x14ac:dyDescent="0.3">
      <c r="A43" s="378"/>
      <c r="B43" s="379"/>
      <c r="C43" s="364" t="s">
        <v>176</v>
      </c>
      <c r="D43" s="365"/>
      <c r="E43" s="34"/>
      <c r="F43" s="185" t="s">
        <v>388</v>
      </c>
      <c r="G43" s="34"/>
    </row>
    <row r="44" spans="1:7" s="13" customFormat="1" ht="13.5" customHeight="1" thickBot="1" x14ac:dyDescent="0.3">
      <c r="A44" s="378"/>
      <c r="B44" s="379"/>
      <c r="C44" s="364" t="s">
        <v>177</v>
      </c>
      <c r="D44" s="365"/>
      <c r="E44" s="34"/>
      <c r="F44" s="169">
        <v>2470</v>
      </c>
      <c r="G44" s="34"/>
    </row>
    <row r="45" spans="1:7" s="13" customFormat="1" ht="13.5" customHeight="1" thickBot="1" x14ac:dyDescent="0.3">
      <c r="A45" s="378"/>
      <c r="B45" s="379"/>
      <c r="C45" s="364" t="s">
        <v>112</v>
      </c>
      <c r="D45" s="365"/>
      <c r="E45" s="34"/>
      <c r="F45" s="169" t="s">
        <v>389</v>
      </c>
      <c r="G45" s="34"/>
    </row>
    <row r="46" spans="1:7" s="13" customFormat="1" ht="13.5" customHeight="1" thickBot="1" x14ac:dyDescent="0.3">
      <c r="A46" s="378"/>
      <c r="B46" s="379"/>
      <c r="C46" s="364" t="s">
        <v>113</v>
      </c>
      <c r="D46" s="365"/>
      <c r="E46" s="34"/>
      <c r="F46" s="169" t="s">
        <v>390</v>
      </c>
      <c r="G46" s="34"/>
    </row>
    <row r="47" spans="1:7" s="13" customFormat="1" ht="13.5" customHeight="1" thickBot="1" x14ac:dyDescent="0.3">
      <c r="A47" s="378"/>
      <c r="B47" s="379"/>
      <c r="C47" s="366" t="s">
        <v>114</v>
      </c>
      <c r="D47" s="367"/>
      <c r="E47" s="34"/>
      <c r="F47" s="169" t="s">
        <v>389</v>
      </c>
      <c r="G47" s="34"/>
    </row>
    <row r="48" spans="1:7" s="13" customFormat="1" ht="13.5" customHeight="1" thickBot="1" x14ac:dyDescent="0.3">
      <c r="A48" s="378"/>
      <c r="B48" s="379"/>
      <c r="C48" s="352" t="s">
        <v>115</v>
      </c>
      <c r="D48" s="353"/>
      <c r="E48" s="34"/>
      <c r="F48" s="174" t="s">
        <v>390</v>
      </c>
      <c r="G48" s="34"/>
    </row>
    <row r="49" spans="1:7" s="13" customFormat="1" x14ac:dyDescent="0.25">
      <c r="A49" s="354" t="s">
        <v>10</v>
      </c>
      <c r="B49" s="356" t="s">
        <v>62</v>
      </c>
      <c r="C49" s="358" t="s">
        <v>116</v>
      </c>
      <c r="D49" s="359"/>
      <c r="E49" s="34"/>
      <c r="F49" s="183">
        <v>6</v>
      </c>
      <c r="G49" s="34"/>
    </row>
    <row r="50" spans="1:7" s="13" customFormat="1" x14ac:dyDescent="0.25">
      <c r="A50" s="362"/>
      <c r="B50" s="363"/>
      <c r="C50" s="364" t="s">
        <v>117</v>
      </c>
      <c r="D50" s="365"/>
      <c r="E50" s="34"/>
      <c r="F50" s="169" t="s">
        <v>372</v>
      </c>
      <c r="G50" s="34"/>
    </row>
    <row r="51" spans="1:7" s="13" customFormat="1" ht="13.5" thickBot="1" x14ac:dyDescent="0.3">
      <c r="A51" s="362"/>
      <c r="B51" s="363"/>
      <c r="C51" s="360" t="s">
        <v>71</v>
      </c>
      <c r="D51" s="361"/>
      <c r="E51" s="34"/>
      <c r="F51" s="171" t="s">
        <v>391</v>
      </c>
      <c r="G51" s="34"/>
    </row>
    <row r="52" spans="1:7" s="13" customFormat="1" ht="78" customHeight="1" thickBot="1" x14ac:dyDescent="0.3">
      <c r="A52" s="51" t="s">
        <v>9</v>
      </c>
      <c r="B52" s="28" t="s">
        <v>140</v>
      </c>
      <c r="C52" s="366"/>
      <c r="D52" s="367"/>
      <c r="E52" s="34"/>
      <c r="F52" s="183"/>
      <c r="G52" s="34"/>
    </row>
    <row r="53" spans="1:7" s="13" customFormat="1" x14ac:dyDescent="0.25">
      <c r="A53" s="354" t="s">
        <v>25</v>
      </c>
      <c r="B53" s="356" t="s">
        <v>93</v>
      </c>
      <c r="C53" s="358" t="s">
        <v>72</v>
      </c>
      <c r="D53" s="359"/>
      <c r="E53" s="34"/>
      <c r="F53" s="183" t="s">
        <v>341</v>
      </c>
      <c r="G53" s="34"/>
    </row>
    <row r="54" spans="1:7" s="13" customFormat="1" ht="68.099999999999994" customHeight="1" thickBot="1" x14ac:dyDescent="0.3">
      <c r="A54" s="355"/>
      <c r="B54" s="357"/>
      <c r="C54" s="352" t="s">
        <v>73</v>
      </c>
      <c r="D54" s="353"/>
      <c r="E54" s="34"/>
      <c r="F54" s="174">
        <v>220</v>
      </c>
      <c r="G54" s="34"/>
    </row>
    <row r="55" spans="1:7" s="13" customFormat="1" x14ac:dyDescent="0.25">
      <c r="A55" s="354" t="s">
        <v>26</v>
      </c>
      <c r="B55" s="356"/>
      <c r="C55" s="358" t="s">
        <v>74</v>
      </c>
      <c r="D55" s="359"/>
      <c r="E55" s="34"/>
      <c r="F55" s="183" t="s">
        <v>296</v>
      </c>
      <c r="G55" s="34"/>
    </row>
    <row r="56" spans="1:7" s="13" customFormat="1" x14ac:dyDescent="0.25">
      <c r="A56" s="362"/>
      <c r="B56" s="363"/>
      <c r="C56" s="364" t="s">
        <v>75</v>
      </c>
      <c r="D56" s="365"/>
      <c r="E56" s="34"/>
      <c r="F56" s="169">
        <v>2</v>
      </c>
      <c r="G56" s="34"/>
    </row>
    <row r="57" spans="1:7" s="13" customFormat="1" ht="13.5" thickBot="1" x14ac:dyDescent="0.3">
      <c r="A57" s="355"/>
      <c r="B57" s="357"/>
      <c r="C57" s="352" t="s">
        <v>76</v>
      </c>
      <c r="D57" s="353"/>
      <c r="E57" s="34"/>
      <c r="F57" s="174">
        <v>770</v>
      </c>
      <c r="G57" s="34"/>
    </row>
    <row r="58" spans="1:7" s="13" customFormat="1" ht="15.95" customHeight="1" thickBot="1" x14ac:dyDescent="0.3">
      <c r="A58" s="50" t="s">
        <v>44</v>
      </c>
      <c r="B58" s="30" t="s">
        <v>45</v>
      </c>
      <c r="C58" s="368"/>
      <c r="D58" s="369"/>
      <c r="E58" s="35"/>
      <c r="F58" s="186"/>
      <c r="G58" s="35"/>
    </row>
    <row r="59" spans="1:7" s="13" customFormat="1" ht="26.45" customHeight="1" thickBot="1" x14ac:dyDescent="0.3">
      <c r="A59" s="50" t="s">
        <v>44</v>
      </c>
      <c r="B59" s="30" t="s">
        <v>63</v>
      </c>
      <c r="C59" s="368"/>
      <c r="D59" s="369"/>
      <c r="E59" s="35"/>
      <c r="F59" s="186"/>
      <c r="G59" s="35"/>
    </row>
    <row r="60" spans="1:7" s="13" customFormat="1" ht="28.5" customHeight="1" thickBot="1" x14ac:dyDescent="0.3">
      <c r="A60" s="50" t="s">
        <v>44</v>
      </c>
      <c r="B60" s="30" t="s">
        <v>64</v>
      </c>
      <c r="C60" s="368"/>
      <c r="D60" s="369"/>
      <c r="E60" s="35"/>
      <c r="F60" s="186"/>
      <c r="G60" s="35"/>
    </row>
    <row r="61" spans="1:7" s="13" customFormat="1" ht="14.45" customHeight="1" thickBot="1" x14ac:dyDescent="0.3">
      <c r="A61" s="50" t="s">
        <v>50</v>
      </c>
      <c r="B61" s="30" t="s">
        <v>65</v>
      </c>
      <c r="C61" s="368"/>
      <c r="D61" s="369"/>
      <c r="E61" s="35"/>
      <c r="F61" s="186"/>
      <c r="G61" s="35"/>
    </row>
    <row r="62" spans="1:7" s="13" customFormat="1" ht="13.5" thickBot="1" x14ac:dyDescent="0.3">
      <c r="A62" s="50" t="s">
        <v>27</v>
      </c>
      <c r="B62" s="30"/>
      <c r="C62" s="380" t="s">
        <v>77</v>
      </c>
      <c r="D62" s="381"/>
      <c r="E62" s="34"/>
      <c r="F62" s="184" t="s">
        <v>376</v>
      </c>
      <c r="G62" s="34"/>
    </row>
    <row r="63" spans="1:7" s="13" customFormat="1" ht="39" thickBot="1" x14ac:dyDescent="0.3">
      <c r="A63" s="50" t="s">
        <v>28</v>
      </c>
      <c r="B63" s="30" t="s">
        <v>179</v>
      </c>
      <c r="C63" s="380" t="s">
        <v>78</v>
      </c>
      <c r="D63" s="381"/>
      <c r="E63" s="34"/>
      <c r="F63" s="184" t="s">
        <v>343</v>
      </c>
      <c r="G63" s="34"/>
    </row>
    <row r="64" spans="1:7" s="13" customFormat="1" ht="39.6" customHeight="1" thickBot="1" x14ac:dyDescent="0.3">
      <c r="A64" s="50" t="s">
        <v>51</v>
      </c>
      <c r="B64" s="30" t="s">
        <v>79</v>
      </c>
      <c r="C64" s="368"/>
      <c r="D64" s="369"/>
      <c r="E64" s="35"/>
      <c r="F64" s="184"/>
      <c r="G64" s="35"/>
    </row>
    <row r="65" spans="1:7" s="13" customFormat="1" ht="41.1" customHeight="1" thickBot="1" x14ac:dyDescent="0.3">
      <c r="A65" s="50" t="s">
        <v>54</v>
      </c>
      <c r="B65" s="30" t="s">
        <v>80</v>
      </c>
      <c r="C65" s="368"/>
      <c r="D65" s="369"/>
      <c r="E65" s="35"/>
      <c r="F65" s="184"/>
      <c r="G65" s="35"/>
    </row>
    <row r="66" spans="1:7" s="13" customFormat="1" ht="78.95" customHeight="1" thickBot="1" x14ac:dyDescent="0.3">
      <c r="A66" s="50" t="s">
        <v>29</v>
      </c>
      <c r="B66" s="30" t="s">
        <v>132</v>
      </c>
      <c r="C66" s="368"/>
      <c r="D66" s="369"/>
      <c r="E66" s="35"/>
      <c r="F66" s="184"/>
      <c r="G66" s="35"/>
    </row>
    <row r="67" spans="1:7" s="13" customFormat="1" ht="39" thickBot="1" x14ac:dyDescent="0.3">
      <c r="A67" s="50" t="s">
        <v>31</v>
      </c>
      <c r="B67" s="30" t="s">
        <v>94</v>
      </c>
      <c r="C67" s="380" t="s">
        <v>30</v>
      </c>
      <c r="D67" s="381"/>
      <c r="E67" s="34"/>
      <c r="F67" s="184" t="s">
        <v>344</v>
      </c>
      <c r="G67" s="34"/>
    </row>
    <row r="68" spans="1:7" s="13" customFormat="1" ht="28.5" customHeight="1" thickBot="1" x14ac:dyDescent="0.3">
      <c r="A68" s="50" t="s">
        <v>55</v>
      </c>
      <c r="B68" s="30" t="s">
        <v>95</v>
      </c>
      <c r="C68" s="368"/>
      <c r="D68" s="369"/>
      <c r="E68" s="35"/>
      <c r="F68" s="184"/>
      <c r="G68" s="35"/>
    </row>
    <row r="69" spans="1:7" s="13" customFormat="1" ht="26.25" thickBot="1" x14ac:dyDescent="0.3">
      <c r="A69" s="50" t="s">
        <v>32</v>
      </c>
      <c r="B69" s="30" t="s">
        <v>96</v>
      </c>
      <c r="C69" s="380" t="s">
        <v>30</v>
      </c>
      <c r="D69" s="381"/>
      <c r="E69" s="34"/>
      <c r="F69" s="184" t="s">
        <v>345</v>
      </c>
      <c r="G69" s="34"/>
    </row>
    <row r="70" spans="1:7" s="13" customFormat="1" ht="42.6" customHeight="1" thickBot="1" x14ac:dyDescent="0.3">
      <c r="A70" s="50" t="s">
        <v>56</v>
      </c>
      <c r="B70" s="30" t="s">
        <v>167</v>
      </c>
      <c r="C70" s="368"/>
      <c r="D70" s="369"/>
      <c r="E70" s="35"/>
      <c r="F70" s="184"/>
      <c r="G70" s="35"/>
    </row>
    <row r="71" spans="1:7" s="13" customFormat="1" ht="27.95" customHeight="1" thickBot="1" x14ac:dyDescent="0.3">
      <c r="A71" s="50" t="s">
        <v>48</v>
      </c>
      <c r="B71" s="30" t="s">
        <v>47</v>
      </c>
      <c r="C71" s="368"/>
      <c r="D71" s="369"/>
      <c r="E71" s="35"/>
      <c r="F71" s="184"/>
      <c r="G71" s="35"/>
    </row>
    <row r="72" spans="1:7" s="13" customFormat="1" ht="26.25" thickBot="1" x14ac:dyDescent="0.3">
      <c r="A72" s="50" t="s">
        <v>49</v>
      </c>
      <c r="B72" s="30" t="s">
        <v>103</v>
      </c>
      <c r="C72" s="368"/>
      <c r="D72" s="369"/>
      <c r="E72" s="35"/>
      <c r="F72" s="184"/>
      <c r="G72" s="35"/>
    </row>
    <row r="73" spans="1:7" s="13" customFormat="1" ht="26.25" thickBot="1" x14ac:dyDescent="0.3">
      <c r="A73" s="50" t="s">
        <v>46</v>
      </c>
      <c r="B73" s="30" t="s">
        <v>81</v>
      </c>
      <c r="C73" s="368"/>
      <c r="D73" s="369"/>
      <c r="E73" s="35"/>
      <c r="F73" s="184"/>
      <c r="G73" s="35"/>
    </row>
    <row r="74" spans="1:7" ht="13.5" thickBot="1" x14ac:dyDescent="0.25"/>
    <row r="75" spans="1:7" s="17" customFormat="1" ht="32.25" thickBot="1" x14ac:dyDescent="0.3">
      <c r="A75" s="373" t="s">
        <v>168</v>
      </c>
      <c r="B75" s="374"/>
      <c r="C75" s="374"/>
      <c r="D75" s="375"/>
      <c r="E75" s="38"/>
      <c r="F75" s="196" t="s">
        <v>392</v>
      </c>
      <c r="G75" s="38"/>
    </row>
    <row r="76" spans="1:7" s="3" customFormat="1" ht="15" customHeight="1" thickBot="1" x14ac:dyDescent="0.3">
      <c r="A76" s="382" t="s">
        <v>169</v>
      </c>
      <c r="B76" s="383"/>
      <c r="C76" s="383"/>
      <c r="D76" s="384"/>
      <c r="E76" s="39"/>
      <c r="F76" s="188" t="s">
        <v>17</v>
      </c>
      <c r="G76" s="39"/>
    </row>
    <row r="77" spans="1:7" s="13" customFormat="1" x14ac:dyDescent="0.25">
      <c r="A77" s="385" t="s">
        <v>82</v>
      </c>
      <c r="B77" s="386"/>
      <c r="C77" s="386"/>
      <c r="D77" s="387"/>
      <c r="E77" s="35"/>
      <c r="F77" s="199" t="s">
        <v>181</v>
      </c>
      <c r="G77" s="35"/>
    </row>
    <row r="78" spans="1:7" s="13" customFormat="1" x14ac:dyDescent="0.25">
      <c r="A78" s="385" t="s">
        <v>83</v>
      </c>
      <c r="B78" s="386"/>
      <c r="C78" s="386"/>
      <c r="D78" s="387"/>
      <c r="E78" s="35"/>
      <c r="F78" s="189">
        <f>-1257.64*('PPI Adj'!D6)</f>
        <v>-1467.6658800000002</v>
      </c>
      <c r="G78" s="35"/>
    </row>
    <row r="79" spans="1:7" s="13" customFormat="1" x14ac:dyDescent="0.25">
      <c r="A79" s="388" t="s">
        <v>34</v>
      </c>
      <c r="B79" s="389"/>
      <c r="C79" s="389"/>
      <c r="D79" s="390"/>
      <c r="E79" s="34"/>
      <c r="F79" s="190">
        <f>593.33*('PPI Adj'!D6)</f>
        <v>692.41611000000012</v>
      </c>
      <c r="G79" s="34"/>
    </row>
    <row r="80" spans="1:7" s="13" customFormat="1" x14ac:dyDescent="0.25">
      <c r="A80" s="388" t="s">
        <v>35</v>
      </c>
      <c r="B80" s="389"/>
      <c r="C80" s="389"/>
      <c r="D80" s="390"/>
      <c r="E80" s="35"/>
      <c r="F80" s="190" t="s">
        <v>183</v>
      </c>
      <c r="G80" s="35"/>
    </row>
    <row r="81" spans="1:7" s="13" customFormat="1" x14ac:dyDescent="0.25">
      <c r="A81" s="388" t="s">
        <v>36</v>
      </c>
      <c r="B81" s="389"/>
      <c r="C81" s="389"/>
      <c r="D81" s="390"/>
      <c r="E81" s="34"/>
      <c r="F81" s="190">
        <f>325*('PPI Adj'!D6)</f>
        <v>379.27500000000003</v>
      </c>
      <c r="G81" s="34"/>
    </row>
    <row r="82" spans="1:7" s="13" customFormat="1" x14ac:dyDescent="0.25">
      <c r="A82" s="388" t="s">
        <v>60</v>
      </c>
      <c r="B82" s="389"/>
      <c r="C82" s="389"/>
      <c r="D82" s="390"/>
      <c r="E82" s="34"/>
      <c r="F82" s="190">
        <f>371.13*('PPI Adj'!D6)</f>
        <v>433.10871000000003</v>
      </c>
      <c r="G82" s="34"/>
    </row>
    <row r="83" spans="1:7" s="13" customFormat="1" x14ac:dyDescent="0.25">
      <c r="A83" s="388" t="s">
        <v>61</v>
      </c>
      <c r="B83" s="389"/>
      <c r="C83" s="389"/>
      <c r="D83" s="390"/>
      <c r="E83" s="34"/>
      <c r="F83" s="190" t="s">
        <v>183</v>
      </c>
      <c r="G83" s="34"/>
    </row>
    <row r="84" spans="1:7" s="13" customFormat="1" x14ac:dyDescent="0.25">
      <c r="A84" s="388" t="s">
        <v>86</v>
      </c>
      <c r="B84" s="389"/>
      <c r="C84" s="389"/>
      <c r="D84" s="390"/>
      <c r="E84" s="34"/>
      <c r="F84" s="190">
        <f>650.5*('PPI Adj'!D6)</f>
        <v>759.13350000000003</v>
      </c>
      <c r="G84" s="34"/>
    </row>
    <row r="85" spans="1:7" x14ac:dyDescent="0.2">
      <c r="A85" s="388" t="s">
        <v>85</v>
      </c>
      <c r="B85" s="389"/>
      <c r="C85" s="389"/>
      <c r="D85" s="390"/>
      <c r="E85" s="34"/>
      <c r="F85" s="190">
        <f>1568.09*('PPI Adj'!D6)</f>
        <v>1829.9610299999999</v>
      </c>
      <c r="G85" s="34"/>
    </row>
    <row r="86" spans="1:7" x14ac:dyDescent="0.2">
      <c r="A86" s="388" t="s">
        <v>13</v>
      </c>
      <c r="B86" s="389"/>
      <c r="C86" s="389"/>
      <c r="D86" s="390"/>
      <c r="E86" s="34"/>
      <c r="F86" s="190">
        <f>7296.4*('PPI Adj'!D6)</f>
        <v>8514.898799999999</v>
      </c>
      <c r="G86" s="34"/>
    </row>
    <row r="87" spans="1:7" x14ac:dyDescent="0.2">
      <c r="A87" s="388" t="s">
        <v>37</v>
      </c>
      <c r="B87" s="389"/>
      <c r="C87" s="389"/>
      <c r="D87" s="390"/>
      <c r="E87" s="35"/>
      <c r="F87" s="190">
        <f>514.48*('PPI Adj'!D6)</f>
        <v>600.39816000000008</v>
      </c>
      <c r="G87" s="35"/>
    </row>
    <row r="88" spans="1:7" x14ac:dyDescent="0.2">
      <c r="A88" s="388" t="s">
        <v>38</v>
      </c>
      <c r="B88" s="389"/>
      <c r="C88" s="389"/>
      <c r="D88" s="390"/>
      <c r="E88" s="35"/>
      <c r="F88" s="190" t="s">
        <v>183</v>
      </c>
      <c r="G88" s="34"/>
    </row>
    <row r="89" spans="1:7" x14ac:dyDescent="0.2">
      <c r="A89" s="388" t="s">
        <v>39</v>
      </c>
      <c r="B89" s="389"/>
      <c r="C89" s="389"/>
      <c r="D89" s="390"/>
      <c r="E89" s="34"/>
      <c r="F89" s="190">
        <f>669.22*('PPI Adj'!D6)</f>
        <v>780.97974000000011</v>
      </c>
      <c r="G89" s="34"/>
    </row>
    <row r="90" spans="1:7" x14ac:dyDescent="0.2">
      <c r="A90" s="388" t="s">
        <v>90</v>
      </c>
      <c r="B90" s="389"/>
      <c r="C90" s="389"/>
      <c r="D90" s="390"/>
      <c r="E90" s="35"/>
      <c r="F90" s="190">
        <f>230.63*('PPI Adj'!D6)</f>
        <v>269.14521000000002</v>
      </c>
      <c r="G90" s="35"/>
    </row>
    <row r="91" spans="1:7" x14ac:dyDescent="0.2">
      <c r="A91" s="388" t="s">
        <v>88</v>
      </c>
      <c r="B91" s="389"/>
      <c r="C91" s="389"/>
      <c r="D91" s="390"/>
      <c r="E91" s="34"/>
      <c r="F91" s="190" t="s">
        <v>181</v>
      </c>
      <c r="G91" s="34"/>
    </row>
    <row r="92" spans="1:7" x14ac:dyDescent="0.2">
      <c r="A92" s="388" t="s">
        <v>40</v>
      </c>
      <c r="B92" s="389"/>
      <c r="C92" s="389"/>
      <c r="D92" s="390"/>
      <c r="E92" s="34"/>
      <c r="F92" s="190">
        <f>157.7*('PPI Adj'!D6)</f>
        <v>184.0359</v>
      </c>
      <c r="G92" s="34"/>
    </row>
    <row r="93" spans="1:7" x14ac:dyDescent="0.2">
      <c r="A93" s="388" t="s">
        <v>14</v>
      </c>
      <c r="B93" s="389"/>
      <c r="C93" s="389"/>
      <c r="D93" s="390"/>
      <c r="E93" s="34"/>
      <c r="F93" s="190">
        <f>5658.67*('PPI Adj'!D6)</f>
        <v>6603.6678900000006</v>
      </c>
      <c r="G93" s="34"/>
    </row>
    <row r="94" spans="1:7" x14ac:dyDescent="0.2">
      <c r="A94" s="388" t="s">
        <v>91</v>
      </c>
      <c r="B94" s="389"/>
      <c r="C94" s="389"/>
      <c r="D94" s="390"/>
      <c r="E94" s="34"/>
      <c r="F94" s="190">
        <f>1800*('PPI Adj'!D6)</f>
        <v>2100.6</v>
      </c>
      <c r="G94" s="34"/>
    </row>
    <row r="95" spans="1:7" x14ac:dyDescent="0.2">
      <c r="A95" s="394" t="s">
        <v>275</v>
      </c>
      <c r="B95" s="395"/>
      <c r="C95" s="395"/>
      <c r="D95" s="396"/>
      <c r="E95" s="34"/>
      <c r="F95" s="200">
        <f>-473.13*('PPI Adj'!D6)</f>
        <v>-552.14270999999997</v>
      </c>
      <c r="G95" s="34"/>
    </row>
    <row r="96" spans="1:7" ht="13.5" thickBot="1" x14ac:dyDescent="0.25">
      <c r="A96" s="391" t="s">
        <v>92</v>
      </c>
      <c r="B96" s="392"/>
      <c r="C96" s="392"/>
      <c r="D96" s="393"/>
      <c r="E96" s="35"/>
      <c r="F96" s="191">
        <f>1427.13*('PPI Adj'!D6)</f>
        <v>1665.4607100000003</v>
      </c>
      <c r="G96" s="35"/>
    </row>
    <row r="97" spans="1:7" ht="13.5" thickBot="1" x14ac:dyDescent="0.25"/>
    <row r="98" spans="1:7" s="17" customFormat="1" ht="32.25" thickBot="1" x14ac:dyDescent="0.3">
      <c r="A98" s="373" t="s">
        <v>166</v>
      </c>
      <c r="B98" s="374"/>
      <c r="C98" s="374"/>
      <c r="D98" s="375"/>
      <c r="E98" s="38"/>
      <c r="F98" s="196" t="s">
        <v>392</v>
      </c>
      <c r="G98" s="38"/>
    </row>
    <row r="99" spans="1:7" s="3" customFormat="1" ht="15" customHeight="1" thickBot="1" x14ac:dyDescent="0.3">
      <c r="A99" s="52" t="s">
        <v>33</v>
      </c>
      <c r="B99" s="24" t="s">
        <v>7</v>
      </c>
      <c r="C99" s="397" t="s">
        <v>165</v>
      </c>
      <c r="D99" s="398"/>
      <c r="E99" s="39"/>
      <c r="F99" s="188" t="s">
        <v>17</v>
      </c>
      <c r="G99" s="39"/>
    </row>
    <row r="100" spans="1:7" s="13" customFormat="1" ht="26.25" thickBot="1" x14ac:dyDescent="0.3">
      <c r="A100" s="53" t="s">
        <v>82</v>
      </c>
      <c r="B100" s="16" t="s">
        <v>130</v>
      </c>
      <c r="C100" s="399"/>
      <c r="D100" s="400"/>
      <c r="E100" s="35"/>
      <c r="F100" s="184" t="s">
        <v>181</v>
      </c>
      <c r="G100" s="35"/>
    </row>
    <row r="101" spans="1:7" s="13" customFormat="1" ht="39" thickBot="1" x14ac:dyDescent="0.3">
      <c r="A101" s="53" t="s">
        <v>83</v>
      </c>
      <c r="B101" s="23" t="s">
        <v>146</v>
      </c>
      <c r="C101" s="399"/>
      <c r="D101" s="400"/>
      <c r="E101" s="35"/>
      <c r="F101" s="184" t="s">
        <v>346</v>
      </c>
      <c r="G101" s="35"/>
    </row>
    <row r="102" spans="1:7" s="13" customFormat="1" ht="26.25" thickBot="1" x14ac:dyDescent="0.3">
      <c r="A102" s="50" t="s">
        <v>34</v>
      </c>
      <c r="B102" s="30" t="s">
        <v>107</v>
      </c>
      <c r="C102" s="380" t="s">
        <v>30</v>
      </c>
      <c r="D102" s="381"/>
      <c r="E102" s="34"/>
      <c r="F102" s="184" t="s">
        <v>347</v>
      </c>
      <c r="G102" s="34"/>
    </row>
    <row r="103" spans="1:7" s="13" customFormat="1" ht="51.95" customHeight="1" thickBot="1" x14ac:dyDescent="0.3">
      <c r="A103" s="50" t="s">
        <v>35</v>
      </c>
      <c r="B103" s="30" t="s">
        <v>97</v>
      </c>
      <c r="C103" s="368"/>
      <c r="D103" s="369"/>
      <c r="E103" s="35"/>
      <c r="F103" s="184" t="s">
        <v>348</v>
      </c>
      <c r="G103" s="35"/>
    </row>
    <row r="104" spans="1:7" s="13" customFormat="1" ht="27.95" customHeight="1" thickBot="1" x14ac:dyDescent="0.3">
      <c r="A104" s="50" t="s">
        <v>36</v>
      </c>
      <c r="B104" s="30" t="s">
        <v>84</v>
      </c>
      <c r="C104" s="380" t="s">
        <v>99</v>
      </c>
      <c r="D104" s="381"/>
      <c r="E104" s="34"/>
      <c r="F104" s="184" t="s">
        <v>349</v>
      </c>
      <c r="G104" s="34"/>
    </row>
    <row r="105" spans="1:7" s="13" customFormat="1" ht="12.75" customHeight="1" x14ac:dyDescent="0.25">
      <c r="A105" s="354" t="s">
        <v>60</v>
      </c>
      <c r="B105" s="356" t="s">
        <v>133</v>
      </c>
      <c r="C105" s="358" t="s">
        <v>176</v>
      </c>
      <c r="D105" s="359"/>
      <c r="E105" s="34"/>
      <c r="F105" s="183" t="s">
        <v>379</v>
      </c>
      <c r="G105" s="34"/>
    </row>
    <row r="106" spans="1:7" s="13" customFormat="1" ht="12.75" customHeight="1" x14ac:dyDescent="0.25">
      <c r="A106" s="362"/>
      <c r="B106" s="363"/>
      <c r="C106" s="364" t="s">
        <v>177</v>
      </c>
      <c r="D106" s="365"/>
      <c r="E106" s="34"/>
      <c r="F106" s="169">
        <v>2470</v>
      </c>
      <c r="G106" s="34"/>
    </row>
    <row r="107" spans="1:7" s="13" customFormat="1" ht="57" customHeight="1" x14ac:dyDescent="0.25">
      <c r="A107" s="362"/>
      <c r="B107" s="363"/>
      <c r="C107" s="364" t="s">
        <v>114</v>
      </c>
      <c r="D107" s="365"/>
      <c r="E107" s="34"/>
      <c r="F107" s="169" t="s">
        <v>380</v>
      </c>
      <c r="G107" s="34"/>
    </row>
    <row r="108" spans="1:7" s="13" customFormat="1" ht="30.75" customHeight="1" thickBot="1" x14ac:dyDescent="0.3">
      <c r="A108" s="355"/>
      <c r="B108" s="357"/>
      <c r="C108" s="352" t="s">
        <v>115</v>
      </c>
      <c r="D108" s="353"/>
      <c r="E108" s="34"/>
      <c r="F108" s="174" t="s">
        <v>381</v>
      </c>
      <c r="G108" s="34"/>
    </row>
    <row r="109" spans="1:7" s="13" customFormat="1" x14ac:dyDescent="0.25">
      <c r="A109" s="354" t="s">
        <v>61</v>
      </c>
      <c r="B109" s="356" t="s">
        <v>134</v>
      </c>
      <c r="C109" s="358" t="s">
        <v>174</v>
      </c>
      <c r="D109" s="359"/>
      <c r="E109" s="34"/>
      <c r="F109" s="183"/>
      <c r="G109" s="34"/>
    </row>
    <row r="110" spans="1:7" s="13" customFormat="1" ht="12.75" customHeight="1" x14ac:dyDescent="0.25">
      <c r="A110" s="362"/>
      <c r="B110" s="363"/>
      <c r="C110" s="364" t="s">
        <v>175</v>
      </c>
      <c r="D110" s="365"/>
      <c r="E110" s="34"/>
      <c r="F110" s="185"/>
      <c r="G110" s="34"/>
    </row>
    <row r="111" spans="1:7" s="13" customFormat="1" ht="12.75" customHeight="1" x14ac:dyDescent="0.25">
      <c r="A111" s="362"/>
      <c r="B111" s="363"/>
      <c r="C111" s="364" t="s">
        <v>176</v>
      </c>
      <c r="D111" s="365"/>
      <c r="E111" s="34"/>
      <c r="F111" s="185"/>
      <c r="G111" s="34"/>
    </row>
    <row r="112" spans="1:7" s="13" customFormat="1" ht="12.75" customHeight="1" x14ac:dyDescent="0.25">
      <c r="A112" s="362"/>
      <c r="B112" s="363"/>
      <c r="C112" s="364" t="s">
        <v>177</v>
      </c>
      <c r="D112" s="365"/>
      <c r="E112" s="34"/>
      <c r="F112" s="169"/>
      <c r="G112" s="34"/>
    </row>
    <row r="113" spans="1:7" s="13" customFormat="1" ht="12.75" customHeight="1" x14ac:dyDescent="0.25">
      <c r="A113" s="362"/>
      <c r="B113" s="363"/>
      <c r="C113" s="364" t="s">
        <v>112</v>
      </c>
      <c r="D113" s="365"/>
      <c r="E113" s="34"/>
      <c r="F113" s="169"/>
      <c r="G113" s="34"/>
    </row>
    <row r="114" spans="1:7" s="13" customFormat="1" ht="12.75" customHeight="1" x14ac:dyDescent="0.25">
      <c r="A114" s="362"/>
      <c r="B114" s="363"/>
      <c r="C114" s="364" t="s">
        <v>113</v>
      </c>
      <c r="D114" s="365"/>
      <c r="E114" s="34"/>
      <c r="F114" s="185"/>
      <c r="G114" s="34"/>
    </row>
    <row r="115" spans="1:7" s="13" customFormat="1" ht="12.75" customHeight="1" x14ac:dyDescent="0.25">
      <c r="A115" s="362"/>
      <c r="B115" s="363"/>
      <c r="C115" s="364" t="s">
        <v>114</v>
      </c>
      <c r="D115" s="365"/>
      <c r="E115" s="34"/>
      <c r="F115" s="185"/>
      <c r="G115" s="34"/>
    </row>
    <row r="116" spans="1:7" s="13" customFormat="1" ht="13.5" customHeight="1" thickBot="1" x14ac:dyDescent="0.3">
      <c r="A116" s="355"/>
      <c r="B116" s="357"/>
      <c r="C116" s="352" t="s">
        <v>115</v>
      </c>
      <c r="D116" s="353"/>
      <c r="E116" s="34"/>
      <c r="F116" s="174"/>
      <c r="G116" s="34"/>
    </row>
    <row r="117" spans="1:7" s="13" customFormat="1" ht="143.1" customHeight="1" thickBot="1" x14ac:dyDescent="0.3">
      <c r="A117" s="54" t="s">
        <v>86</v>
      </c>
      <c r="B117" s="18" t="s">
        <v>143</v>
      </c>
      <c r="C117" s="380" t="s">
        <v>104</v>
      </c>
      <c r="D117" s="381"/>
      <c r="E117" s="34"/>
      <c r="F117" s="183" t="s">
        <v>353</v>
      </c>
      <c r="G117" s="34"/>
    </row>
    <row r="118" spans="1:7" ht="168.6" customHeight="1" thickBot="1" x14ac:dyDescent="0.25">
      <c r="A118" s="50" t="s">
        <v>85</v>
      </c>
      <c r="B118" s="14" t="s">
        <v>170</v>
      </c>
      <c r="C118" s="380" t="s">
        <v>104</v>
      </c>
      <c r="D118" s="381"/>
      <c r="E118" s="34"/>
      <c r="F118" s="184" t="s">
        <v>360</v>
      </c>
      <c r="G118" s="34"/>
    </row>
    <row r="119" spans="1:7" x14ac:dyDescent="0.2">
      <c r="A119" s="354" t="s">
        <v>13</v>
      </c>
      <c r="B119" s="356" t="s">
        <v>98</v>
      </c>
      <c r="C119" s="358" t="s">
        <v>30</v>
      </c>
      <c r="D119" s="359"/>
      <c r="E119" s="34"/>
      <c r="F119" s="183" t="s">
        <v>354</v>
      </c>
      <c r="G119" s="34"/>
    </row>
    <row r="120" spans="1:7" ht="42.75" customHeight="1" thickBot="1" x14ac:dyDescent="0.25">
      <c r="A120" s="355"/>
      <c r="B120" s="357"/>
      <c r="C120" s="352" t="s">
        <v>109</v>
      </c>
      <c r="D120" s="353"/>
      <c r="E120" s="34"/>
      <c r="F120" s="174" t="s">
        <v>355</v>
      </c>
      <c r="G120" s="34"/>
    </row>
    <row r="121" spans="1:7" ht="64.5" customHeight="1" thickBot="1" x14ac:dyDescent="0.25">
      <c r="A121" s="50" t="s">
        <v>37</v>
      </c>
      <c r="B121" s="30" t="s">
        <v>135</v>
      </c>
      <c r="C121" s="368"/>
      <c r="D121" s="369"/>
      <c r="E121" s="35"/>
      <c r="F121" s="184" t="s">
        <v>382</v>
      </c>
      <c r="G121" s="35"/>
    </row>
    <row r="122" spans="1:7" ht="40.5" customHeight="1" thickBot="1" x14ac:dyDescent="0.25">
      <c r="A122" s="50" t="s">
        <v>38</v>
      </c>
      <c r="B122" s="30" t="s">
        <v>87</v>
      </c>
      <c r="C122" s="368"/>
      <c r="D122" s="369"/>
      <c r="E122" s="35"/>
      <c r="F122" s="183" t="s">
        <v>348</v>
      </c>
      <c r="G122" s="35"/>
    </row>
    <row r="123" spans="1:7" ht="26.45" customHeight="1" thickBot="1" x14ac:dyDescent="0.25">
      <c r="A123" s="50" t="s">
        <v>39</v>
      </c>
      <c r="B123" s="30" t="s">
        <v>106</v>
      </c>
      <c r="C123" s="380" t="s">
        <v>105</v>
      </c>
      <c r="D123" s="381"/>
      <c r="E123" s="34"/>
      <c r="F123" s="184" t="s">
        <v>184</v>
      </c>
      <c r="G123" s="34"/>
    </row>
    <row r="124" spans="1:7" ht="40.5" customHeight="1" thickBot="1" x14ac:dyDescent="0.25">
      <c r="A124" s="50" t="s">
        <v>90</v>
      </c>
      <c r="B124" s="30" t="s">
        <v>129</v>
      </c>
      <c r="C124" s="368"/>
      <c r="D124" s="369"/>
      <c r="E124" s="35"/>
      <c r="F124" s="184" t="s">
        <v>357</v>
      </c>
      <c r="G124" s="35"/>
    </row>
    <row r="125" spans="1:7" x14ac:dyDescent="0.2">
      <c r="A125" s="354" t="s">
        <v>88</v>
      </c>
      <c r="B125" s="356" t="s">
        <v>148</v>
      </c>
      <c r="C125" s="358" t="s">
        <v>100</v>
      </c>
      <c r="D125" s="359"/>
      <c r="E125" s="34"/>
      <c r="F125" s="183" t="s">
        <v>181</v>
      </c>
      <c r="G125" s="34"/>
    </row>
    <row r="126" spans="1:7" ht="108" customHeight="1" thickBot="1" x14ac:dyDescent="0.25">
      <c r="A126" s="355"/>
      <c r="B126" s="357"/>
      <c r="C126" s="352" t="s">
        <v>110</v>
      </c>
      <c r="D126" s="353"/>
      <c r="E126" s="34"/>
      <c r="F126" s="201"/>
      <c r="G126" s="34"/>
    </row>
    <row r="127" spans="1:7" ht="26.25" thickBot="1" x14ac:dyDescent="0.25">
      <c r="A127" s="50" t="s">
        <v>40</v>
      </c>
      <c r="B127" s="30" t="s">
        <v>137</v>
      </c>
      <c r="C127" s="380" t="s">
        <v>100</v>
      </c>
      <c r="D127" s="381"/>
      <c r="E127" s="34"/>
      <c r="F127" s="174" t="s">
        <v>358</v>
      </c>
      <c r="G127" s="34"/>
    </row>
    <row r="128" spans="1:7" ht="53.1" customHeight="1" thickBot="1" x14ac:dyDescent="0.25">
      <c r="A128" s="50" t="s">
        <v>14</v>
      </c>
      <c r="B128" s="30" t="s">
        <v>138</v>
      </c>
      <c r="C128" s="380" t="s">
        <v>139</v>
      </c>
      <c r="D128" s="381"/>
      <c r="E128" s="34"/>
      <c r="F128" s="184">
        <v>2</v>
      </c>
      <c r="G128" s="34"/>
    </row>
    <row r="129" spans="1:7" ht="67.5" customHeight="1" thickBot="1" x14ac:dyDescent="0.25">
      <c r="A129" s="50" t="s">
        <v>91</v>
      </c>
      <c r="B129" s="30" t="s">
        <v>144</v>
      </c>
      <c r="C129" s="380" t="s">
        <v>100</v>
      </c>
      <c r="D129" s="381"/>
      <c r="E129" s="34"/>
      <c r="F129" s="184" t="s">
        <v>359</v>
      </c>
      <c r="G129" s="34"/>
    </row>
    <row r="130" spans="1:7" ht="66.95" customHeight="1" thickBot="1" x14ac:dyDescent="0.25">
      <c r="A130" s="50" t="s">
        <v>92</v>
      </c>
      <c r="B130" s="30" t="s">
        <v>145</v>
      </c>
      <c r="C130" s="368"/>
      <c r="D130" s="369"/>
      <c r="E130" s="35"/>
      <c r="F130" s="184"/>
      <c r="G130" s="35"/>
    </row>
  </sheetData>
  <sheetProtection algorithmName="SHA-512" hashValue="Ru8a3f7v/gYWssqftox1jThBdXgqwG/z/BH9hX54Sz6ZZt2MyqWW9ZWlEnTpeZgQgvIie2TnG9IxootcDxbGYQ==" saltValue="SRCXXMYlOcZ9L/lbbf/rDA==" spinCount="100000" sheet="1" objects="1" scenarios="1"/>
  <dataConsolidate/>
  <mergeCells count="145">
    <mergeCell ref="C127:D127"/>
    <mergeCell ref="C128:D128"/>
    <mergeCell ref="C129:D129"/>
    <mergeCell ref="C130:D130"/>
    <mergeCell ref="C121:D121"/>
    <mergeCell ref="C122:D122"/>
    <mergeCell ref="C123:D123"/>
    <mergeCell ref="C124:D124"/>
    <mergeCell ref="A125:A126"/>
    <mergeCell ref="B125:B126"/>
    <mergeCell ref="C125:D125"/>
    <mergeCell ref="C126:D126"/>
    <mergeCell ref="C118:D118"/>
    <mergeCell ref="A119:A120"/>
    <mergeCell ref="B119:B120"/>
    <mergeCell ref="C119:D119"/>
    <mergeCell ref="C120:D120"/>
    <mergeCell ref="A109:A116"/>
    <mergeCell ref="B109:B116"/>
    <mergeCell ref="C109:D109"/>
    <mergeCell ref="C110:D110"/>
    <mergeCell ref="C111:D111"/>
    <mergeCell ref="C112:D112"/>
    <mergeCell ref="C113:D113"/>
    <mergeCell ref="C114:D114"/>
    <mergeCell ref="C115:D115"/>
    <mergeCell ref="C116:D116"/>
    <mergeCell ref="C103:D103"/>
    <mergeCell ref="C104:D104"/>
    <mergeCell ref="A105:A108"/>
    <mergeCell ref="B105:B108"/>
    <mergeCell ref="C105:D105"/>
    <mergeCell ref="C106:D106"/>
    <mergeCell ref="C107:D107"/>
    <mergeCell ref="C108:D108"/>
    <mergeCell ref="C117:D117"/>
    <mergeCell ref="C99:D99"/>
    <mergeCell ref="C100:D100"/>
    <mergeCell ref="C101:D101"/>
    <mergeCell ref="C102:D102"/>
    <mergeCell ref="A92:D92"/>
    <mergeCell ref="A93:D93"/>
    <mergeCell ref="A94:D94"/>
    <mergeCell ref="A96:D96"/>
    <mergeCell ref="A98:D98"/>
    <mergeCell ref="A95:D95"/>
    <mergeCell ref="A86:D86"/>
    <mergeCell ref="A87:D87"/>
    <mergeCell ref="A88:D88"/>
    <mergeCell ref="A89:D89"/>
    <mergeCell ref="A90:D90"/>
    <mergeCell ref="A91:D91"/>
    <mergeCell ref="A80:D80"/>
    <mergeCell ref="A81:D81"/>
    <mergeCell ref="A82:D82"/>
    <mergeCell ref="A83:D83"/>
    <mergeCell ref="A84:D84"/>
    <mergeCell ref="A85:D85"/>
    <mergeCell ref="A76:D76"/>
    <mergeCell ref="A77:D77"/>
    <mergeCell ref="A78:D78"/>
    <mergeCell ref="A79:D79"/>
    <mergeCell ref="C70:D70"/>
    <mergeCell ref="C71:D71"/>
    <mergeCell ref="C72:D72"/>
    <mergeCell ref="C73:D73"/>
    <mergeCell ref="A75:D75"/>
    <mergeCell ref="C64:D64"/>
    <mergeCell ref="C65:D65"/>
    <mergeCell ref="C66:D66"/>
    <mergeCell ref="C67:D67"/>
    <mergeCell ref="C68:D68"/>
    <mergeCell ref="C69:D69"/>
    <mergeCell ref="C58:D58"/>
    <mergeCell ref="C59:D59"/>
    <mergeCell ref="C60:D60"/>
    <mergeCell ref="C61:D61"/>
    <mergeCell ref="C62:D62"/>
    <mergeCell ref="C63:D63"/>
    <mergeCell ref="C52:D52"/>
    <mergeCell ref="A53:A54"/>
    <mergeCell ref="B53:B54"/>
    <mergeCell ref="C53:D53"/>
    <mergeCell ref="C54:D54"/>
    <mergeCell ref="A55:A57"/>
    <mergeCell ref="B55:B57"/>
    <mergeCell ref="C55:D55"/>
    <mergeCell ref="C56:D56"/>
    <mergeCell ref="C57:D57"/>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30:D30"/>
    <mergeCell ref="B23:D23"/>
    <mergeCell ref="A25:D25"/>
    <mergeCell ref="A36:A37"/>
    <mergeCell ref="B36:B37"/>
    <mergeCell ref="C36:D36"/>
    <mergeCell ref="C37:D37"/>
    <mergeCell ref="A38:A39"/>
    <mergeCell ref="B38:B39"/>
    <mergeCell ref="C38:D38"/>
    <mergeCell ref="C39:D39"/>
    <mergeCell ref="A31:A35"/>
    <mergeCell ref="B31:B35"/>
    <mergeCell ref="C31:D31"/>
    <mergeCell ref="C32:D32"/>
    <mergeCell ref="C33:D33"/>
    <mergeCell ref="C34:D34"/>
    <mergeCell ref="C35:D35"/>
    <mergeCell ref="C26:D26"/>
    <mergeCell ref="B17:D17"/>
    <mergeCell ref="B21:D21"/>
    <mergeCell ref="B22:D22"/>
    <mergeCell ref="C27:D27"/>
    <mergeCell ref="A28:A29"/>
    <mergeCell ref="B28:B29"/>
    <mergeCell ref="C28:D28"/>
    <mergeCell ref="C29:D29"/>
    <mergeCell ref="A3:D3"/>
    <mergeCell ref="A4:D4"/>
    <mergeCell ref="A6:D6"/>
    <mergeCell ref="A19:D19"/>
    <mergeCell ref="B12:D12"/>
    <mergeCell ref="B13:D13"/>
    <mergeCell ref="B14:D14"/>
    <mergeCell ref="B15:D15"/>
    <mergeCell ref="B16:D16"/>
    <mergeCell ref="B8:D8"/>
    <mergeCell ref="B9:D9"/>
    <mergeCell ref="B10:D10"/>
    <mergeCell ref="B11:D11"/>
  </mergeCells>
  <conditionalFormatting sqref="C52 C60">
    <cfRule type="expression" dxfId="291" priority="173">
      <formula>#REF!="NO"</formula>
    </cfRule>
  </conditionalFormatting>
  <conditionalFormatting sqref="C27:G73">
    <cfRule type="expression" dxfId="290" priority="35">
      <formula>#REF!="NO"</formula>
    </cfRule>
  </conditionalFormatting>
  <conditionalFormatting sqref="C100:G130">
    <cfRule type="expression" dxfId="289" priority="7">
      <formula>#REF!="NO"</formula>
    </cfRule>
  </conditionalFormatting>
  <conditionalFormatting sqref="E77:G96">
    <cfRule type="expression" dxfId="288" priority="1">
      <formula>#REF!="NO"</formula>
    </cfRule>
  </conditionalFormatting>
  <conditionalFormatting sqref="F8:F17">
    <cfRule type="expression" dxfId="287" priority="168">
      <formula>#REF!="NO"</formula>
    </cfRule>
  </conditionalFormatting>
  <conditionalFormatting sqref="F21:F23">
    <cfRule type="expression" dxfId="286" priority="169">
      <formula>#REF!="NO"</formula>
    </cfRule>
  </conditionalFormatting>
  <dataValidations count="3">
    <dataValidation type="decimal" operator="greaterThanOrEqual" allowBlank="1" showInputMessage="1" showErrorMessage="1" error="The Pickup Allowance cannot be a negative number." sqref="F16" xr:uid="{00000000-0002-0000-0300-000000000000}">
      <formula1>0</formula1>
    </dataValidation>
    <dataValidation type="decimal" allowBlank="1" showInputMessage="1" showErrorMessage="1" error="Invalid Entry - Bidder must enter a value that is greater than $0" sqref="F21" xr:uid="{00000000-0002-0000-0300-000001000000}">
      <formula1>0</formula1>
      <formula2>9E+21</formula2>
    </dataValidation>
    <dataValidation type="decimal" allowBlank="1" showInputMessage="1" showErrorMessage="1" error="The Additional Options NYS Discount entered must be greater than 0%, or less than or equal to 100%." sqref="F23" xr:uid="{00000000-0002-0000-0300-000002000000}">
      <formula1>0.01</formula1>
      <formula2>100</formula2>
    </dataValidation>
  </dataValidations>
  <pageMargins left="0.25" right="0.25" top="0.5" bottom="0.25" header="0.3" footer="0.3"/>
  <pageSetup scale="92" fitToHeight="0" orientation="landscape" r:id="rId1"/>
  <rowBreaks count="1" manualBreakCount="1">
    <brk id="23"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B24C3-C4F4-45C8-A693-233FED8CE4EB}">
  <sheetPr>
    <tabColor rgb="FFCC66FF"/>
    <pageSetUpPr autoPageBreaks="0" fitToPage="1"/>
  </sheetPr>
  <dimension ref="A1:G12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customFormat="1" ht="15" x14ac:dyDescent="0.25">
      <c r="A1" s="165" t="str">
        <f>'A (Item 2-G)'!$A$1</f>
        <v>GROUP 40524-23254, SCHOOL BUSES (Statewide)                                                             Attachment 1 - Specifications and Pricing (Revised October 15, 2026)</v>
      </c>
      <c r="B1" s="2"/>
      <c r="C1" s="2"/>
      <c r="D1" s="2"/>
      <c r="E1" s="2"/>
      <c r="F1" s="210"/>
    </row>
    <row r="2" spans="1:7" customFormat="1" ht="15.75" thickBot="1" x14ac:dyDescent="0.3">
      <c r="A2" s="316" t="str">
        <f>'Attachment 1 - Summary'!B2</f>
        <v>PC69864 New York Bus Sales, LLC</v>
      </c>
      <c r="B2" s="26"/>
      <c r="C2" s="26"/>
      <c r="D2" s="26"/>
      <c r="F2" s="287"/>
    </row>
    <row r="3" spans="1:7" ht="24" thickBot="1" x14ac:dyDescent="0.25">
      <c r="A3" s="340" t="s">
        <v>307</v>
      </c>
      <c r="B3" s="341"/>
      <c r="C3" s="341"/>
      <c r="D3" s="342"/>
      <c r="E3" s="9"/>
      <c r="F3" s="312"/>
      <c r="G3" s="9"/>
    </row>
    <row r="4" spans="1:7" ht="42" customHeight="1" thickBot="1" x14ac:dyDescent="0.25">
      <c r="A4" s="343" t="s">
        <v>306</v>
      </c>
      <c r="B4" s="344"/>
      <c r="C4" s="344"/>
      <c r="D4" s="345"/>
      <c r="E4" s="9"/>
      <c r="F4" s="315"/>
      <c r="G4" s="9"/>
    </row>
    <row r="5" spans="1:7" s="4" customFormat="1" ht="11.25" customHeight="1" thickBot="1" x14ac:dyDescent="0.3">
      <c r="A5" s="57"/>
      <c r="B5" s="57"/>
      <c r="C5" s="57"/>
      <c r="D5" s="57"/>
      <c r="E5" s="57"/>
      <c r="F5" s="313"/>
    </row>
    <row r="6" spans="1:7" s="8" customFormat="1" ht="16.5" thickBot="1" x14ac:dyDescent="0.25">
      <c r="A6" s="346" t="s">
        <v>151</v>
      </c>
      <c r="B6" s="347"/>
      <c r="C6" s="347"/>
      <c r="D6" s="348"/>
      <c r="E6" s="36"/>
      <c r="F6" s="196" t="s">
        <v>395</v>
      </c>
      <c r="G6" s="36"/>
    </row>
    <row r="7" spans="1:7" s="4" customFormat="1" ht="15" customHeight="1" thickBot="1" x14ac:dyDescent="0.3">
      <c r="A7" s="41" t="s">
        <v>6</v>
      </c>
      <c r="B7" s="27" t="s">
        <v>165</v>
      </c>
      <c r="C7" s="32"/>
      <c r="D7" s="40"/>
      <c r="E7" s="37"/>
      <c r="F7" s="188" t="s">
        <v>184</v>
      </c>
      <c r="G7" s="37"/>
    </row>
    <row r="8" spans="1:7" ht="39.75" thickTop="1" thickBot="1" x14ac:dyDescent="0.25">
      <c r="A8" s="42" t="s">
        <v>185</v>
      </c>
      <c r="B8" s="337" t="s">
        <v>303</v>
      </c>
      <c r="C8" s="338"/>
      <c r="D8" s="339"/>
      <c r="E8" s="13"/>
      <c r="F8" s="167" t="s">
        <v>396</v>
      </c>
      <c r="G8" s="13"/>
    </row>
    <row r="9" spans="1:7" s="8" customFormat="1" ht="44.25" customHeight="1" thickTop="1" thickBot="1" x14ac:dyDescent="0.25">
      <c r="A9" s="42" t="s">
        <v>136</v>
      </c>
      <c r="B9" s="337" t="s">
        <v>191</v>
      </c>
      <c r="C9" s="338"/>
      <c r="D9" s="339"/>
      <c r="E9" s="13"/>
      <c r="F9" s="167" t="s">
        <v>397</v>
      </c>
      <c r="G9" s="13"/>
    </row>
    <row r="10" spans="1:7" ht="12.75" customHeight="1" thickTop="1" x14ac:dyDescent="0.2">
      <c r="A10" s="43" t="s">
        <v>0</v>
      </c>
      <c r="B10" s="328" t="s">
        <v>154</v>
      </c>
      <c r="C10" s="329"/>
      <c r="D10" s="330"/>
      <c r="E10" s="13"/>
      <c r="F10" s="169" t="s">
        <v>180</v>
      </c>
      <c r="G10" s="13"/>
    </row>
    <row r="11" spans="1:7" x14ac:dyDescent="0.2">
      <c r="A11" s="43" t="s">
        <v>1</v>
      </c>
      <c r="B11" s="328" t="s">
        <v>153</v>
      </c>
      <c r="C11" s="329"/>
      <c r="D11" s="330"/>
      <c r="E11" s="13"/>
      <c r="F11" s="169" t="s">
        <v>301</v>
      </c>
      <c r="G11" s="13"/>
    </row>
    <row r="12" spans="1:7" ht="13.5" customHeight="1" thickBot="1" x14ac:dyDescent="0.25">
      <c r="A12" s="44" t="s">
        <v>2</v>
      </c>
      <c r="B12" s="331" t="s">
        <v>155</v>
      </c>
      <c r="C12" s="332"/>
      <c r="D12" s="333"/>
      <c r="E12" s="13"/>
      <c r="F12" s="170" t="s">
        <v>364</v>
      </c>
      <c r="G12" s="13"/>
    </row>
    <row r="13" spans="1:7" ht="13.5" thickTop="1" x14ac:dyDescent="0.2">
      <c r="A13" s="43" t="s">
        <v>3</v>
      </c>
      <c r="B13" s="328" t="s">
        <v>157</v>
      </c>
      <c r="C13" s="329"/>
      <c r="D13" s="330"/>
      <c r="E13" s="13"/>
      <c r="F13" s="169" t="s">
        <v>331</v>
      </c>
      <c r="G13" s="13"/>
    </row>
    <row r="14" spans="1:7" x14ac:dyDescent="0.2">
      <c r="A14" s="43" t="s">
        <v>4</v>
      </c>
      <c r="B14" s="328" t="s">
        <v>156</v>
      </c>
      <c r="C14" s="329"/>
      <c r="D14" s="330"/>
      <c r="E14" s="13"/>
      <c r="F14" s="169" t="s">
        <v>365</v>
      </c>
      <c r="G14" s="13"/>
    </row>
    <row r="15" spans="1:7" ht="15.75" customHeight="1" thickBot="1" x14ac:dyDescent="0.25">
      <c r="A15" s="45" t="s">
        <v>5</v>
      </c>
      <c r="B15" s="331" t="s">
        <v>158</v>
      </c>
      <c r="C15" s="332"/>
      <c r="D15" s="333"/>
      <c r="E15" s="13"/>
      <c r="F15" s="172" t="s">
        <v>398</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399</v>
      </c>
      <c r="G17" s="13"/>
    </row>
    <row r="18" spans="1:7" s="10" customFormat="1" ht="14.25" thickTop="1" thickBot="1" x14ac:dyDescent="0.25">
      <c r="C18" s="11"/>
      <c r="D18" s="11"/>
      <c r="E18" s="11"/>
      <c r="F18" s="213"/>
      <c r="G18" s="11"/>
    </row>
    <row r="19" spans="1:7" s="12" customFormat="1" ht="16.5" thickBot="1" x14ac:dyDescent="0.25">
      <c r="A19" s="346" t="s">
        <v>150</v>
      </c>
      <c r="B19" s="347"/>
      <c r="C19" s="347"/>
      <c r="D19" s="348"/>
      <c r="E19" s="36"/>
      <c r="F19" s="196" t="s">
        <v>395</v>
      </c>
      <c r="G19" s="36"/>
    </row>
    <row r="20" spans="1:7" s="4" customFormat="1" ht="15" customHeight="1" thickBot="1" x14ac:dyDescent="0.3">
      <c r="A20" s="55" t="s">
        <v>6</v>
      </c>
      <c r="B20" s="31" t="s">
        <v>165</v>
      </c>
      <c r="C20" s="33"/>
      <c r="D20" s="48"/>
      <c r="E20" s="37"/>
      <c r="F20" s="188" t="s">
        <v>184</v>
      </c>
      <c r="G20" s="37"/>
    </row>
    <row r="21" spans="1:7" ht="56.25" customHeight="1" x14ac:dyDescent="0.2">
      <c r="A21" s="46" t="s">
        <v>42</v>
      </c>
      <c r="B21" s="349" t="s">
        <v>161</v>
      </c>
      <c r="C21" s="350"/>
      <c r="D21" s="351"/>
      <c r="E21" s="13"/>
      <c r="F21" s="214">
        <f>276900*('PPI Adj'!D6)</f>
        <v>323142.3</v>
      </c>
      <c r="G21" s="13"/>
    </row>
    <row r="22" spans="1:7" ht="42.75" customHeight="1" x14ac:dyDescent="0.2">
      <c r="A22" s="43" t="s">
        <v>20</v>
      </c>
      <c r="B22" s="328" t="s">
        <v>162</v>
      </c>
      <c r="C22" s="329"/>
      <c r="D22" s="330"/>
      <c r="E22" s="13"/>
      <c r="F22" s="198" t="s">
        <v>181</v>
      </c>
      <c r="G22" s="13"/>
    </row>
    <row r="23" spans="1:7" ht="33" customHeight="1" thickBot="1" x14ac:dyDescent="0.25">
      <c r="A23" s="47" t="s">
        <v>41</v>
      </c>
      <c r="B23" s="370" t="s">
        <v>163</v>
      </c>
      <c r="C23" s="371"/>
      <c r="D23" s="372"/>
      <c r="E23" s="1"/>
      <c r="F23" s="179">
        <v>12</v>
      </c>
      <c r="G23" s="1"/>
    </row>
    <row r="24" spans="1:7" ht="13.5" thickBot="1" x14ac:dyDescent="0.25">
      <c r="A24" s="58"/>
      <c r="B24" s="1"/>
      <c r="C24" s="1"/>
      <c r="D24" s="1"/>
      <c r="E24" s="1"/>
      <c r="F24" s="180"/>
      <c r="G24" s="1"/>
    </row>
    <row r="25" spans="1:7" s="8" customFormat="1" ht="16.5" thickBot="1" x14ac:dyDescent="0.25">
      <c r="A25" s="373" t="s">
        <v>164</v>
      </c>
      <c r="B25" s="374"/>
      <c r="C25" s="374"/>
      <c r="D25" s="375"/>
      <c r="E25" s="38"/>
      <c r="F25" s="196" t="s">
        <v>395</v>
      </c>
      <c r="G25" s="38"/>
    </row>
    <row r="26" spans="1:7" s="3" customFormat="1" ht="15" customHeight="1" thickBot="1" x14ac:dyDescent="0.3">
      <c r="A26" s="55" t="s">
        <v>6</v>
      </c>
      <c r="B26" s="56" t="s">
        <v>7</v>
      </c>
      <c r="C26" s="376" t="s">
        <v>165</v>
      </c>
      <c r="D26" s="377"/>
      <c r="E26" s="39"/>
      <c r="F26" s="188" t="s">
        <v>184</v>
      </c>
      <c r="G26" s="39"/>
    </row>
    <row r="27" spans="1:7" s="13" customFormat="1" ht="41.1" customHeight="1" thickBot="1" x14ac:dyDescent="0.3">
      <c r="A27" s="49" t="s">
        <v>8</v>
      </c>
      <c r="B27" s="29" t="s">
        <v>131</v>
      </c>
      <c r="C27" s="352" t="s">
        <v>118</v>
      </c>
      <c r="D27" s="353"/>
      <c r="E27" s="34"/>
      <c r="F27" s="184">
        <v>14500</v>
      </c>
      <c r="G27" s="34"/>
    </row>
    <row r="28" spans="1:7" s="13" customFormat="1" ht="13.5" thickBot="1" x14ac:dyDescent="0.3">
      <c r="A28" s="354" t="s">
        <v>21</v>
      </c>
      <c r="B28" s="356" t="s">
        <v>173</v>
      </c>
      <c r="C28" s="358" t="s">
        <v>67</v>
      </c>
      <c r="D28" s="359"/>
      <c r="E28" s="34"/>
      <c r="F28" s="183">
        <v>4</v>
      </c>
      <c r="G28" s="34"/>
    </row>
    <row r="29" spans="1:7" s="13" customFormat="1" ht="15.95" customHeight="1" thickBot="1" x14ac:dyDescent="0.3">
      <c r="A29" s="355"/>
      <c r="B29" s="357"/>
      <c r="C29" s="352" t="s">
        <v>68</v>
      </c>
      <c r="D29" s="353"/>
      <c r="E29" s="34"/>
      <c r="F29" s="184">
        <v>24</v>
      </c>
      <c r="G29" s="34"/>
    </row>
    <row r="30" spans="1:7" s="13" customFormat="1" ht="13.5" thickBot="1" x14ac:dyDescent="0.3">
      <c r="A30" s="50" t="s">
        <v>123</v>
      </c>
      <c r="B30" s="30" t="s">
        <v>108</v>
      </c>
      <c r="C30" s="368"/>
      <c r="D30" s="369"/>
      <c r="E30" s="35"/>
      <c r="F30" s="184" t="s">
        <v>367</v>
      </c>
      <c r="G30" s="35"/>
    </row>
    <row r="31" spans="1:7" s="13" customFormat="1" ht="12.75" customHeight="1" x14ac:dyDescent="0.25">
      <c r="A31" s="354" t="s">
        <v>59</v>
      </c>
      <c r="B31" s="356"/>
      <c r="C31" s="358" t="s">
        <v>58</v>
      </c>
      <c r="D31" s="359"/>
      <c r="E31" s="34"/>
      <c r="F31" s="183">
        <v>158</v>
      </c>
      <c r="G31" s="34"/>
    </row>
    <row r="32" spans="1:7" s="13" customFormat="1" ht="12.75" customHeight="1" x14ac:dyDescent="0.25">
      <c r="A32" s="362"/>
      <c r="B32" s="363"/>
      <c r="C32" s="364" t="s">
        <v>57</v>
      </c>
      <c r="D32" s="365"/>
      <c r="E32" s="34"/>
      <c r="F32" s="169">
        <v>283</v>
      </c>
      <c r="G32" s="34"/>
    </row>
    <row r="33" spans="1:7" s="13" customFormat="1" ht="12.75" customHeight="1" x14ac:dyDescent="0.25">
      <c r="A33" s="362"/>
      <c r="B33" s="363"/>
      <c r="C33" s="364" t="s">
        <v>69</v>
      </c>
      <c r="D33" s="365"/>
      <c r="E33" s="34"/>
      <c r="F33" s="169">
        <v>93</v>
      </c>
      <c r="G33" s="34"/>
    </row>
    <row r="34" spans="1:7" s="13" customFormat="1" ht="12.75" customHeight="1" x14ac:dyDescent="0.25">
      <c r="A34" s="362"/>
      <c r="B34" s="363"/>
      <c r="C34" s="364" t="s">
        <v>70</v>
      </c>
      <c r="D34" s="365"/>
      <c r="E34" s="34"/>
      <c r="F34" s="169">
        <v>76</v>
      </c>
      <c r="G34" s="34"/>
    </row>
    <row r="35" spans="1:7" s="13" customFormat="1" ht="14.1" customHeight="1" thickBot="1" x14ac:dyDescent="0.3">
      <c r="A35" s="355"/>
      <c r="B35" s="357"/>
      <c r="C35" s="360" t="s">
        <v>111</v>
      </c>
      <c r="D35" s="361"/>
      <c r="E35" s="34"/>
      <c r="F35" s="174">
        <v>100</v>
      </c>
      <c r="G35" s="34"/>
    </row>
    <row r="36" spans="1:7" s="13" customFormat="1" ht="15.6" customHeight="1" x14ac:dyDescent="0.25">
      <c r="A36" s="354" t="s">
        <v>11</v>
      </c>
      <c r="B36" s="356"/>
      <c r="C36" s="358" t="s">
        <v>24</v>
      </c>
      <c r="D36" s="359"/>
      <c r="E36" s="34"/>
      <c r="F36" s="183">
        <v>5000</v>
      </c>
      <c r="G36" s="34"/>
    </row>
    <row r="37" spans="1:7" s="13" customFormat="1" ht="15.6" customHeight="1" thickBot="1" x14ac:dyDescent="0.3">
      <c r="A37" s="355"/>
      <c r="B37" s="357"/>
      <c r="C37" s="360" t="s">
        <v>22</v>
      </c>
      <c r="D37" s="361"/>
      <c r="E37" s="34"/>
      <c r="F37" s="174">
        <v>5000</v>
      </c>
      <c r="G37" s="34"/>
    </row>
    <row r="38" spans="1:7" s="13" customFormat="1" ht="15.6" customHeight="1" x14ac:dyDescent="0.25">
      <c r="A38" s="354" t="s">
        <v>16</v>
      </c>
      <c r="B38" s="356"/>
      <c r="C38" s="358" t="s">
        <v>24</v>
      </c>
      <c r="D38" s="359"/>
      <c r="E38" s="34"/>
      <c r="F38" s="183">
        <v>9600</v>
      </c>
      <c r="G38" s="34"/>
    </row>
    <row r="39" spans="1:7" s="13" customFormat="1" ht="14.1" customHeight="1" thickBot="1" x14ac:dyDescent="0.3">
      <c r="A39" s="355"/>
      <c r="B39" s="357"/>
      <c r="C39" s="360" t="s">
        <v>23</v>
      </c>
      <c r="D39" s="361"/>
      <c r="E39" s="34"/>
      <c r="F39" s="174">
        <v>9600</v>
      </c>
      <c r="G39" s="34"/>
    </row>
    <row r="40" spans="1:7" s="13" customFormat="1" ht="18.600000000000001" customHeight="1" thickBot="1" x14ac:dyDescent="0.3">
      <c r="A40" s="50" t="s">
        <v>52</v>
      </c>
      <c r="B40" s="30" t="s">
        <v>53</v>
      </c>
      <c r="C40" s="368"/>
      <c r="D40" s="369"/>
      <c r="E40" s="35"/>
      <c r="F40" s="184"/>
      <c r="G40" s="35"/>
    </row>
    <row r="41" spans="1:7" s="13" customFormat="1" ht="13.5" customHeight="1" x14ac:dyDescent="0.25">
      <c r="A41" s="354" t="s">
        <v>12</v>
      </c>
      <c r="B41" s="356" t="s">
        <v>142</v>
      </c>
      <c r="C41" s="358" t="s">
        <v>174</v>
      </c>
      <c r="D41" s="359"/>
      <c r="E41" s="34"/>
      <c r="F41" s="183" t="s">
        <v>368</v>
      </c>
      <c r="G41" s="34"/>
    </row>
    <row r="42" spans="1:7" s="13" customFormat="1" ht="13.5" customHeight="1" x14ac:dyDescent="0.25">
      <c r="A42" s="362"/>
      <c r="B42" s="363"/>
      <c r="C42" s="364" t="s">
        <v>175</v>
      </c>
      <c r="D42" s="365"/>
      <c r="E42" s="34"/>
      <c r="F42" s="169">
        <v>2680</v>
      </c>
      <c r="G42" s="34"/>
    </row>
    <row r="43" spans="1:7" s="13" customFormat="1" ht="13.5" customHeight="1" x14ac:dyDescent="0.25">
      <c r="A43" s="362"/>
      <c r="B43" s="363"/>
      <c r="C43" s="364" t="s">
        <v>176</v>
      </c>
      <c r="D43" s="365"/>
      <c r="E43" s="34"/>
      <c r="F43" s="185" t="s">
        <v>369</v>
      </c>
      <c r="G43" s="34"/>
    </row>
    <row r="44" spans="1:7" s="13" customFormat="1" ht="13.5" customHeight="1" x14ac:dyDescent="0.25">
      <c r="A44" s="362"/>
      <c r="B44" s="363"/>
      <c r="C44" s="364" t="s">
        <v>177</v>
      </c>
      <c r="D44" s="365"/>
      <c r="E44" s="34"/>
      <c r="F44" s="169">
        <v>2470</v>
      </c>
      <c r="G44" s="34"/>
    </row>
    <row r="45" spans="1:7" s="13" customFormat="1" ht="13.5" customHeight="1" x14ac:dyDescent="0.25">
      <c r="A45" s="362"/>
      <c r="B45" s="363"/>
      <c r="C45" s="364" t="s">
        <v>112</v>
      </c>
      <c r="D45" s="365"/>
      <c r="E45" s="34"/>
      <c r="F45" s="169" t="s">
        <v>370</v>
      </c>
      <c r="G45" s="34"/>
    </row>
    <row r="46" spans="1:7" s="13" customFormat="1" ht="13.5" customHeight="1" x14ac:dyDescent="0.25">
      <c r="A46" s="362"/>
      <c r="B46" s="363"/>
      <c r="C46" s="364" t="s">
        <v>113</v>
      </c>
      <c r="D46" s="365"/>
      <c r="E46" s="34"/>
      <c r="F46" s="169" t="s">
        <v>371</v>
      </c>
      <c r="G46" s="34"/>
    </row>
    <row r="47" spans="1:7" s="13" customFormat="1" ht="13.5" customHeight="1" x14ac:dyDescent="0.25">
      <c r="A47" s="362"/>
      <c r="B47" s="363"/>
      <c r="C47" s="364" t="s">
        <v>114</v>
      </c>
      <c r="D47" s="365"/>
      <c r="E47" s="34"/>
      <c r="F47" s="169" t="s">
        <v>370</v>
      </c>
      <c r="G47" s="34"/>
    </row>
    <row r="48" spans="1:7" s="13" customFormat="1" ht="13.5" customHeight="1" thickBot="1" x14ac:dyDescent="0.3">
      <c r="A48" s="355"/>
      <c r="B48" s="357"/>
      <c r="C48" s="360" t="s">
        <v>115</v>
      </c>
      <c r="D48" s="361"/>
      <c r="E48" s="34"/>
      <c r="F48" s="174" t="s">
        <v>371</v>
      </c>
      <c r="G48" s="34"/>
    </row>
    <row r="49" spans="1:7" s="13" customFormat="1" ht="12.75" customHeight="1" x14ac:dyDescent="0.25">
      <c r="A49" s="354" t="s">
        <v>10</v>
      </c>
      <c r="B49" s="356" t="s">
        <v>62</v>
      </c>
      <c r="C49" s="358" t="s">
        <v>116</v>
      </c>
      <c r="D49" s="359"/>
      <c r="E49" s="34"/>
      <c r="F49" s="183">
        <v>2</v>
      </c>
      <c r="G49" s="34"/>
    </row>
    <row r="50" spans="1:7" s="13" customFormat="1" ht="12.75" customHeight="1" x14ac:dyDescent="0.25">
      <c r="A50" s="362"/>
      <c r="B50" s="363"/>
      <c r="C50" s="364" t="s">
        <v>117</v>
      </c>
      <c r="D50" s="365"/>
      <c r="E50" s="34"/>
      <c r="F50" s="169" t="s">
        <v>197</v>
      </c>
      <c r="G50" s="34"/>
    </row>
    <row r="51" spans="1:7" s="13" customFormat="1" ht="13.5" customHeight="1" thickBot="1" x14ac:dyDescent="0.3">
      <c r="A51" s="355"/>
      <c r="B51" s="357"/>
      <c r="C51" s="360" t="s">
        <v>71</v>
      </c>
      <c r="D51" s="361"/>
      <c r="E51" s="34"/>
      <c r="F51" s="171" t="s">
        <v>400</v>
      </c>
      <c r="G51" s="34"/>
    </row>
    <row r="52" spans="1:7" s="13" customFormat="1" ht="42.6" customHeight="1" thickBot="1" x14ac:dyDescent="0.3">
      <c r="A52" s="50" t="s">
        <v>185</v>
      </c>
      <c r="B52" s="28" t="s">
        <v>186</v>
      </c>
      <c r="C52" s="380" t="s">
        <v>187</v>
      </c>
      <c r="D52" s="381"/>
      <c r="E52" s="34"/>
      <c r="F52" s="183">
        <v>100</v>
      </c>
      <c r="G52" s="34"/>
    </row>
    <row r="53" spans="1:7" s="13" customFormat="1" ht="12.75" customHeight="1" x14ac:dyDescent="0.25">
      <c r="A53" s="354" t="s">
        <v>26</v>
      </c>
      <c r="B53" s="356"/>
      <c r="C53" s="358" t="s">
        <v>188</v>
      </c>
      <c r="D53" s="359"/>
      <c r="E53" s="34"/>
      <c r="F53" s="183">
        <v>2</v>
      </c>
      <c r="G53" s="34"/>
    </row>
    <row r="54" spans="1:7" s="13" customFormat="1" ht="12.75" customHeight="1" x14ac:dyDescent="0.25">
      <c r="A54" s="362"/>
      <c r="B54" s="363"/>
      <c r="C54" s="364" t="s">
        <v>189</v>
      </c>
      <c r="D54" s="365"/>
      <c r="E54" s="34"/>
      <c r="F54" s="169" t="s">
        <v>401</v>
      </c>
      <c r="G54" s="34"/>
    </row>
    <row r="55" spans="1:7" s="13" customFormat="1" ht="13.5" customHeight="1" thickBot="1" x14ac:dyDescent="0.3">
      <c r="A55" s="355"/>
      <c r="B55" s="357"/>
      <c r="C55" s="360" t="s">
        <v>190</v>
      </c>
      <c r="D55" s="361"/>
      <c r="E55" s="34"/>
      <c r="F55" s="174">
        <v>350</v>
      </c>
      <c r="G55" s="34"/>
    </row>
    <row r="56" spans="1:7" s="13" customFormat="1" ht="15.95" customHeight="1" thickBot="1" x14ac:dyDescent="0.3">
      <c r="A56" s="50" t="s">
        <v>44</v>
      </c>
      <c r="B56" s="30" t="s">
        <v>302</v>
      </c>
      <c r="C56" s="368"/>
      <c r="D56" s="369"/>
      <c r="E56" s="35"/>
      <c r="F56" s="186"/>
      <c r="G56" s="35"/>
    </row>
    <row r="57" spans="1:7" s="13" customFormat="1" ht="27" customHeight="1" thickBot="1" x14ac:dyDescent="0.3">
      <c r="A57" s="50" t="s">
        <v>44</v>
      </c>
      <c r="B57" s="30" t="s">
        <v>63</v>
      </c>
      <c r="C57" s="368"/>
      <c r="D57" s="369"/>
      <c r="E57" s="35"/>
      <c r="F57" s="186"/>
      <c r="G57" s="35"/>
    </row>
    <row r="58" spans="1:7" s="13" customFormat="1" ht="28.5" customHeight="1" thickBot="1" x14ac:dyDescent="0.3">
      <c r="A58" s="50" t="s">
        <v>44</v>
      </c>
      <c r="B58" s="30" t="s">
        <v>64</v>
      </c>
      <c r="C58" s="368"/>
      <c r="D58" s="369"/>
      <c r="E58" s="35"/>
      <c r="F58" s="186"/>
      <c r="G58" s="35"/>
    </row>
    <row r="59" spans="1:7" s="13" customFormat="1" ht="15.95" customHeight="1" thickBot="1" x14ac:dyDescent="0.3">
      <c r="A59" s="50" t="s">
        <v>50</v>
      </c>
      <c r="B59" s="30" t="s">
        <v>65</v>
      </c>
      <c r="C59" s="368"/>
      <c r="D59" s="369"/>
      <c r="E59" s="35"/>
      <c r="F59" s="186"/>
      <c r="G59" s="35"/>
    </row>
    <row r="60" spans="1:7" s="13" customFormat="1" ht="13.5" thickBot="1" x14ac:dyDescent="0.3">
      <c r="A60" s="50" t="s">
        <v>27</v>
      </c>
      <c r="B60" s="30"/>
      <c r="C60" s="380" t="s">
        <v>77</v>
      </c>
      <c r="D60" s="381"/>
      <c r="E60" s="34"/>
      <c r="F60" s="184" t="s">
        <v>376</v>
      </c>
      <c r="G60" s="34"/>
    </row>
    <row r="61" spans="1:7" s="13" customFormat="1" ht="42.6" customHeight="1" thickBot="1" x14ac:dyDescent="0.3">
      <c r="A61" s="50" t="s">
        <v>51</v>
      </c>
      <c r="B61" s="30" t="s">
        <v>79</v>
      </c>
      <c r="C61" s="368"/>
      <c r="D61" s="369"/>
      <c r="E61" s="35"/>
      <c r="F61" s="184"/>
      <c r="G61" s="35"/>
    </row>
    <row r="62" spans="1:7" s="13" customFormat="1" ht="40.5" customHeight="1" thickBot="1" x14ac:dyDescent="0.3">
      <c r="A62" s="50" t="s">
        <v>54</v>
      </c>
      <c r="B62" s="30" t="s">
        <v>80</v>
      </c>
      <c r="C62" s="368"/>
      <c r="D62" s="369"/>
      <c r="E62" s="35"/>
      <c r="F62" s="184"/>
      <c r="G62" s="35"/>
    </row>
    <row r="63" spans="1:7" s="13" customFormat="1" ht="79.5" customHeight="1" thickBot="1" x14ac:dyDescent="0.3">
      <c r="A63" s="50" t="s">
        <v>29</v>
      </c>
      <c r="B63" s="30" t="s">
        <v>132</v>
      </c>
      <c r="C63" s="368"/>
      <c r="D63" s="369"/>
      <c r="E63" s="35"/>
      <c r="F63" s="184"/>
      <c r="G63" s="35"/>
    </row>
    <row r="64" spans="1:7" s="13" customFormat="1" ht="39" thickBot="1" x14ac:dyDescent="0.3">
      <c r="A64" s="50" t="s">
        <v>31</v>
      </c>
      <c r="B64" s="30" t="s">
        <v>94</v>
      </c>
      <c r="C64" s="380" t="s">
        <v>30</v>
      </c>
      <c r="D64" s="381"/>
      <c r="E64" s="34"/>
      <c r="F64" s="184" t="s">
        <v>344</v>
      </c>
      <c r="G64" s="34"/>
    </row>
    <row r="65" spans="1:7" s="13" customFormat="1" ht="27" customHeight="1" thickBot="1" x14ac:dyDescent="0.3">
      <c r="A65" s="50" t="s">
        <v>55</v>
      </c>
      <c r="B65" s="30" t="s">
        <v>95</v>
      </c>
      <c r="C65" s="368"/>
      <c r="D65" s="369"/>
      <c r="E65" s="35"/>
      <c r="F65" s="184"/>
      <c r="G65" s="35"/>
    </row>
    <row r="66" spans="1:7" s="13" customFormat="1" ht="26.25" thickBot="1" x14ac:dyDescent="0.3">
      <c r="A66" s="50" t="s">
        <v>32</v>
      </c>
      <c r="B66" s="30" t="s">
        <v>96</v>
      </c>
      <c r="C66" s="380" t="s">
        <v>30</v>
      </c>
      <c r="D66" s="381"/>
      <c r="E66" s="34"/>
      <c r="F66" s="184" t="s">
        <v>345</v>
      </c>
      <c r="G66" s="34"/>
    </row>
    <row r="67" spans="1:7" s="13" customFormat="1" ht="41.1" customHeight="1" thickBot="1" x14ac:dyDescent="0.3">
      <c r="A67" s="50" t="s">
        <v>56</v>
      </c>
      <c r="B67" s="30" t="s">
        <v>167</v>
      </c>
      <c r="C67" s="368"/>
      <c r="D67" s="369"/>
      <c r="E67" s="35"/>
      <c r="F67" s="184"/>
      <c r="G67" s="35"/>
    </row>
    <row r="68" spans="1:7" s="13" customFormat="1" ht="27" customHeight="1" thickBot="1" x14ac:dyDescent="0.3">
      <c r="A68" s="50" t="s">
        <v>48</v>
      </c>
      <c r="B68" s="30" t="s">
        <v>47</v>
      </c>
      <c r="C68" s="368"/>
      <c r="D68" s="369"/>
      <c r="E68" s="35"/>
      <c r="F68" s="184"/>
      <c r="G68" s="35"/>
    </row>
    <row r="69" spans="1:7" s="13" customFormat="1" ht="41.25" customHeight="1" thickBot="1" x14ac:dyDescent="0.3">
      <c r="A69" s="50" t="s">
        <v>49</v>
      </c>
      <c r="B69" s="30" t="s">
        <v>103</v>
      </c>
      <c r="C69" s="368" t="s">
        <v>304</v>
      </c>
      <c r="D69" s="369"/>
      <c r="E69" s="35"/>
      <c r="F69" s="184" t="s">
        <v>402</v>
      </c>
      <c r="G69" s="35"/>
    </row>
    <row r="70" spans="1:7" s="13" customFormat="1" ht="26.25" thickBot="1" x14ac:dyDescent="0.3">
      <c r="A70" s="50" t="s">
        <v>46</v>
      </c>
      <c r="B70" s="30" t="s">
        <v>81</v>
      </c>
      <c r="C70" s="368"/>
      <c r="D70" s="369"/>
      <c r="E70" s="35"/>
      <c r="F70" s="184"/>
      <c r="G70" s="35"/>
    </row>
    <row r="71" spans="1:7" ht="13.5" thickBot="1" x14ac:dyDescent="0.25">
      <c r="F71" s="215"/>
    </row>
    <row r="72" spans="1:7" s="17" customFormat="1" ht="18.75" thickBot="1" x14ac:dyDescent="0.3">
      <c r="A72" s="373" t="s">
        <v>168</v>
      </c>
      <c r="B72" s="374"/>
      <c r="C72" s="374"/>
      <c r="D72" s="375"/>
      <c r="E72" s="38"/>
      <c r="F72" s="196" t="s">
        <v>395</v>
      </c>
    </row>
    <row r="73" spans="1:7" s="3" customFormat="1" ht="15" customHeight="1" thickBot="1" x14ac:dyDescent="0.3">
      <c r="A73" s="407" t="s">
        <v>169</v>
      </c>
      <c r="B73" s="408"/>
      <c r="C73" s="408"/>
      <c r="D73" s="377"/>
      <c r="E73" s="39"/>
      <c r="F73" s="188" t="s">
        <v>184</v>
      </c>
    </row>
    <row r="74" spans="1:7" s="13" customFormat="1" ht="12.75" customHeight="1" x14ac:dyDescent="0.25">
      <c r="A74" s="409" t="s">
        <v>82</v>
      </c>
      <c r="B74" s="410"/>
      <c r="C74" s="410"/>
      <c r="D74" s="411"/>
      <c r="E74" s="35"/>
      <c r="F74" s="199">
        <f>1257.64*('PPI Adj'!D6)</f>
        <v>1467.6658800000002</v>
      </c>
    </row>
    <row r="75" spans="1:7" s="13" customFormat="1" ht="12.75" customHeight="1" x14ac:dyDescent="0.25">
      <c r="A75" s="404" t="s">
        <v>83</v>
      </c>
      <c r="B75" s="405"/>
      <c r="C75" s="405"/>
      <c r="D75" s="406"/>
      <c r="E75" s="35"/>
      <c r="F75" s="189">
        <f>-1257.64*('PPI Adj'!D6)</f>
        <v>-1467.6658800000002</v>
      </c>
    </row>
    <row r="76" spans="1:7" s="13" customFormat="1" ht="12.75" customHeight="1" x14ac:dyDescent="0.25">
      <c r="A76" s="394" t="s">
        <v>34</v>
      </c>
      <c r="B76" s="395"/>
      <c r="C76" s="395"/>
      <c r="D76" s="396"/>
      <c r="E76" s="34"/>
      <c r="F76" s="190">
        <f>593.33*('PPI Adj'!D6)</f>
        <v>692.41611000000012</v>
      </c>
    </row>
    <row r="77" spans="1:7" s="13" customFormat="1" x14ac:dyDescent="0.25">
      <c r="A77" s="388" t="s">
        <v>35</v>
      </c>
      <c r="B77" s="389"/>
      <c r="C77" s="389"/>
      <c r="D77" s="390"/>
      <c r="E77" s="35"/>
      <c r="F77" s="190" t="s">
        <v>183</v>
      </c>
    </row>
    <row r="78" spans="1:7" s="13" customFormat="1" x14ac:dyDescent="0.25">
      <c r="A78" s="388" t="s">
        <v>36</v>
      </c>
      <c r="B78" s="389"/>
      <c r="C78" s="389"/>
      <c r="D78" s="390"/>
      <c r="E78" s="34"/>
      <c r="F78" s="190">
        <f>270*('PPI Adj'!D6)</f>
        <v>315.09000000000003</v>
      </c>
    </row>
    <row r="79" spans="1:7" s="13" customFormat="1" x14ac:dyDescent="0.25">
      <c r="A79" s="388" t="s">
        <v>60</v>
      </c>
      <c r="B79" s="389"/>
      <c r="C79" s="389"/>
      <c r="D79" s="390"/>
      <c r="E79" s="34"/>
      <c r="F79" s="190">
        <f>371.13*('PPI Adj'!D6)</f>
        <v>433.10871000000003</v>
      </c>
    </row>
    <row r="80" spans="1:7" s="13" customFormat="1" x14ac:dyDescent="0.25">
      <c r="A80" s="388" t="s">
        <v>61</v>
      </c>
      <c r="B80" s="389"/>
      <c r="C80" s="389"/>
      <c r="D80" s="390"/>
      <c r="E80" s="34"/>
      <c r="F80" s="190" t="s">
        <v>183</v>
      </c>
    </row>
    <row r="81" spans="1:6" s="13" customFormat="1" x14ac:dyDescent="0.25">
      <c r="A81" s="388" t="s">
        <v>86</v>
      </c>
      <c r="B81" s="389"/>
      <c r="C81" s="389"/>
      <c r="D81" s="390"/>
      <c r="E81" s="34"/>
      <c r="F81" s="190">
        <f>650.5*('PPI Adj'!D6)</f>
        <v>759.13350000000003</v>
      </c>
    </row>
    <row r="82" spans="1:6" x14ac:dyDescent="0.2">
      <c r="A82" s="388" t="s">
        <v>85</v>
      </c>
      <c r="B82" s="389"/>
      <c r="C82" s="389"/>
      <c r="D82" s="390"/>
      <c r="E82" s="34"/>
      <c r="F82" s="190">
        <f>1568.09*('PPI Adj'!D6)</f>
        <v>1829.9610299999999</v>
      </c>
    </row>
    <row r="83" spans="1:6" x14ac:dyDescent="0.2">
      <c r="A83" s="388" t="s">
        <v>13</v>
      </c>
      <c r="B83" s="389"/>
      <c r="C83" s="389"/>
      <c r="D83" s="390"/>
      <c r="E83" s="34"/>
      <c r="F83" s="190">
        <f>7296.4*('PPI Adj'!D6)</f>
        <v>8514.898799999999</v>
      </c>
    </row>
    <row r="84" spans="1:6" x14ac:dyDescent="0.2">
      <c r="A84" s="388" t="s">
        <v>37</v>
      </c>
      <c r="B84" s="389"/>
      <c r="C84" s="389"/>
      <c r="D84" s="390"/>
      <c r="E84" s="35"/>
      <c r="F84" s="190">
        <f>514.48*('PPI Adj'!D6)</f>
        <v>600.39816000000008</v>
      </c>
    </row>
    <row r="85" spans="1:6" x14ac:dyDescent="0.2">
      <c r="A85" s="388" t="s">
        <v>38</v>
      </c>
      <c r="B85" s="389"/>
      <c r="C85" s="389"/>
      <c r="D85" s="390"/>
      <c r="E85" s="35"/>
      <c r="F85" s="190" t="s">
        <v>183</v>
      </c>
    </row>
    <row r="86" spans="1:6" x14ac:dyDescent="0.2">
      <c r="A86" s="388" t="s">
        <v>39</v>
      </c>
      <c r="B86" s="389"/>
      <c r="C86" s="389"/>
      <c r="D86" s="390"/>
      <c r="E86" s="34"/>
      <c r="F86" s="190">
        <f>669.22*('PPI Adj'!D6)</f>
        <v>780.97974000000011</v>
      </c>
    </row>
    <row r="87" spans="1:6" x14ac:dyDescent="0.2">
      <c r="A87" s="388" t="s">
        <v>90</v>
      </c>
      <c r="B87" s="389"/>
      <c r="C87" s="389"/>
      <c r="D87" s="390"/>
      <c r="E87" s="35"/>
      <c r="F87" s="190">
        <f>230.63*('PPI Adj'!D6)</f>
        <v>269.14521000000002</v>
      </c>
    </row>
    <row r="88" spans="1:6" x14ac:dyDescent="0.2">
      <c r="A88" s="388" t="s">
        <v>40</v>
      </c>
      <c r="B88" s="389"/>
      <c r="C88" s="389"/>
      <c r="D88" s="390"/>
      <c r="E88" s="34"/>
      <c r="F88" s="190">
        <f>157.7*('PPI Adj'!D6)</f>
        <v>184.0359</v>
      </c>
    </row>
    <row r="89" spans="1:6" x14ac:dyDescent="0.2">
      <c r="A89" s="388" t="s">
        <v>14</v>
      </c>
      <c r="B89" s="389"/>
      <c r="C89" s="389"/>
      <c r="D89" s="390"/>
      <c r="E89" s="34"/>
      <c r="F89" s="190">
        <f>13905.83*('PPI Adj'!D6)</f>
        <v>16228.10361</v>
      </c>
    </row>
    <row r="90" spans="1:6" x14ac:dyDescent="0.2">
      <c r="A90" s="388" t="s">
        <v>91</v>
      </c>
      <c r="B90" s="389"/>
      <c r="C90" s="389"/>
      <c r="D90" s="390"/>
      <c r="E90" s="34"/>
      <c r="F90" s="190">
        <f>1800*('PPI Adj'!D6)</f>
        <v>2100.6</v>
      </c>
    </row>
    <row r="91" spans="1:6" x14ac:dyDescent="0.2">
      <c r="A91" s="394" t="s">
        <v>275</v>
      </c>
      <c r="B91" s="395"/>
      <c r="C91" s="395"/>
      <c r="D91" s="396"/>
      <c r="E91" s="34"/>
      <c r="F91" s="200">
        <f>-473.13*('PPI Adj'!D6)</f>
        <v>-552.14270999999997</v>
      </c>
    </row>
    <row r="92" spans="1:6" ht="13.5" thickBot="1" x14ac:dyDescent="0.25">
      <c r="A92" s="391" t="s">
        <v>92</v>
      </c>
      <c r="B92" s="392"/>
      <c r="C92" s="392"/>
      <c r="D92" s="393"/>
      <c r="E92" s="35"/>
      <c r="F92" s="191">
        <f>1427.13*('PPI Adj'!D6)</f>
        <v>1665.4607100000003</v>
      </c>
    </row>
    <row r="93" spans="1:6" ht="13.5" thickBot="1" x14ac:dyDescent="0.25">
      <c r="F93" s="215"/>
    </row>
    <row r="94" spans="1:6" s="17" customFormat="1" ht="18.75" thickBot="1" x14ac:dyDescent="0.3">
      <c r="A94" s="373" t="s">
        <v>166</v>
      </c>
      <c r="B94" s="374"/>
      <c r="C94" s="374"/>
      <c r="D94" s="375"/>
      <c r="E94" s="38"/>
      <c r="F94" s="196" t="s">
        <v>395</v>
      </c>
    </row>
    <row r="95" spans="1:6" s="3" customFormat="1" ht="15" customHeight="1" thickBot="1" x14ac:dyDescent="0.3">
      <c r="A95" s="52" t="s">
        <v>33</v>
      </c>
      <c r="B95" s="24" t="s">
        <v>7</v>
      </c>
      <c r="C95" s="397" t="s">
        <v>165</v>
      </c>
      <c r="D95" s="398"/>
      <c r="E95" s="39"/>
      <c r="F95" s="188" t="s">
        <v>184</v>
      </c>
    </row>
    <row r="96" spans="1:6" s="13" customFormat="1" ht="28.5" customHeight="1" thickBot="1" x14ac:dyDescent="0.3">
      <c r="A96" s="53" t="s">
        <v>82</v>
      </c>
      <c r="B96" s="16" t="s">
        <v>130</v>
      </c>
      <c r="C96" s="399"/>
      <c r="D96" s="400"/>
      <c r="E96" s="35"/>
      <c r="F96" s="184" t="s">
        <v>403</v>
      </c>
    </row>
    <row r="97" spans="1:6" s="13" customFormat="1" ht="41.1" customHeight="1" thickBot="1" x14ac:dyDescent="0.3">
      <c r="A97" s="53" t="s">
        <v>83</v>
      </c>
      <c r="B97" s="23" t="s">
        <v>146</v>
      </c>
      <c r="C97" s="399"/>
      <c r="D97" s="400"/>
      <c r="E97" s="35"/>
      <c r="F97" s="184" t="s">
        <v>346</v>
      </c>
    </row>
    <row r="98" spans="1:6" s="13" customFormat="1" ht="26.25" thickBot="1" x14ac:dyDescent="0.3">
      <c r="A98" s="50" t="s">
        <v>34</v>
      </c>
      <c r="B98" s="30" t="s">
        <v>107</v>
      </c>
      <c r="C98" s="380" t="s">
        <v>30</v>
      </c>
      <c r="D98" s="381"/>
      <c r="E98" s="34"/>
      <c r="F98" s="184" t="s">
        <v>347</v>
      </c>
    </row>
    <row r="99" spans="1:6" s="13" customFormat="1" ht="53.1" customHeight="1" thickBot="1" x14ac:dyDescent="0.3">
      <c r="A99" s="50" t="s">
        <v>35</v>
      </c>
      <c r="B99" s="30" t="s">
        <v>97</v>
      </c>
      <c r="C99" s="368"/>
      <c r="D99" s="369"/>
      <c r="E99" s="35"/>
      <c r="F99" s="183" t="s">
        <v>348</v>
      </c>
    </row>
    <row r="100" spans="1:6" s="13" customFormat="1" ht="28.5" customHeight="1" thickBot="1" x14ac:dyDescent="0.3">
      <c r="A100" s="50" t="s">
        <v>36</v>
      </c>
      <c r="B100" s="30" t="s">
        <v>84</v>
      </c>
      <c r="C100" s="380" t="s">
        <v>99</v>
      </c>
      <c r="D100" s="381"/>
      <c r="E100" s="34"/>
      <c r="F100" s="184" t="s">
        <v>378</v>
      </c>
    </row>
    <row r="101" spans="1:6" s="13" customFormat="1" ht="12.75" customHeight="1" x14ac:dyDescent="0.25">
      <c r="A101" s="354" t="s">
        <v>60</v>
      </c>
      <c r="B101" s="356" t="s">
        <v>133</v>
      </c>
      <c r="C101" s="358" t="s">
        <v>176</v>
      </c>
      <c r="D101" s="359"/>
      <c r="E101" s="34"/>
      <c r="F101" s="183" t="s">
        <v>379</v>
      </c>
    </row>
    <row r="102" spans="1:6" s="13" customFormat="1" ht="12.75" customHeight="1" x14ac:dyDescent="0.25">
      <c r="A102" s="362"/>
      <c r="B102" s="363"/>
      <c r="C102" s="364" t="s">
        <v>177</v>
      </c>
      <c r="D102" s="365"/>
      <c r="E102" s="34"/>
      <c r="F102" s="169">
        <v>2470</v>
      </c>
    </row>
    <row r="103" spans="1:6" s="13" customFormat="1" ht="12.75" customHeight="1" x14ac:dyDescent="0.25">
      <c r="A103" s="362"/>
      <c r="B103" s="363"/>
      <c r="C103" s="364" t="s">
        <v>114</v>
      </c>
      <c r="D103" s="365"/>
      <c r="E103" s="34"/>
      <c r="F103" s="169" t="s">
        <v>380</v>
      </c>
    </row>
    <row r="104" spans="1:6" s="13" customFormat="1" ht="30.75" customHeight="1" thickBot="1" x14ac:dyDescent="0.3">
      <c r="A104" s="355"/>
      <c r="B104" s="357"/>
      <c r="C104" s="352" t="s">
        <v>115</v>
      </c>
      <c r="D104" s="353"/>
      <c r="E104" s="34"/>
      <c r="F104" s="174" t="s">
        <v>381</v>
      </c>
    </row>
    <row r="105" spans="1:6" s="13" customFormat="1" ht="12.75" customHeight="1" x14ac:dyDescent="0.25">
      <c r="A105" s="354" t="s">
        <v>61</v>
      </c>
      <c r="B105" s="356" t="s">
        <v>134</v>
      </c>
      <c r="C105" s="358" t="s">
        <v>174</v>
      </c>
      <c r="D105" s="359"/>
      <c r="E105" s="34"/>
      <c r="F105" s="183"/>
    </row>
    <row r="106" spans="1:6" s="13" customFormat="1" ht="12.75" customHeight="1" x14ac:dyDescent="0.25">
      <c r="A106" s="362"/>
      <c r="B106" s="363"/>
      <c r="C106" s="364" t="s">
        <v>175</v>
      </c>
      <c r="D106" s="365"/>
      <c r="E106" s="34"/>
      <c r="F106" s="185"/>
    </row>
    <row r="107" spans="1:6" s="13" customFormat="1" ht="12.75" customHeight="1" x14ac:dyDescent="0.25">
      <c r="A107" s="362"/>
      <c r="B107" s="363"/>
      <c r="C107" s="364" t="s">
        <v>176</v>
      </c>
      <c r="D107" s="365"/>
      <c r="E107" s="34"/>
      <c r="F107" s="185"/>
    </row>
    <row r="108" spans="1:6" s="13" customFormat="1" ht="12.75" customHeight="1" x14ac:dyDescent="0.25">
      <c r="A108" s="362"/>
      <c r="B108" s="363"/>
      <c r="C108" s="364" t="s">
        <v>177</v>
      </c>
      <c r="D108" s="365"/>
      <c r="E108" s="34"/>
      <c r="F108" s="169"/>
    </row>
    <row r="109" spans="1:6" s="13" customFormat="1" ht="12.75" customHeight="1" x14ac:dyDescent="0.25">
      <c r="A109" s="362"/>
      <c r="B109" s="363"/>
      <c r="C109" s="364" t="s">
        <v>112</v>
      </c>
      <c r="D109" s="365"/>
      <c r="E109" s="34"/>
      <c r="F109" s="169"/>
    </row>
    <row r="110" spans="1:6" s="13" customFormat="1" ht="12.75" customHeight="1" x14ac:dyDescent="0.25">
      <c r="A110" s="362"/>
      <c r="B110" s="363"/>
      <c r="C110" s="364" t="s">
        <v>113</v>
      </c>
      <c r="D110" s="365"/>
      <c r="E110" s="34"/>
      <c r="F110" s="185"/>
    </row>
    <row r="111" spans="1:6" s="13" customFormat="1" ht="12.75" customHeight="1" x14ac:dyDescent="0.25">
      <c r="A111" s="362"/>
      <c r="B111" s="363"/>
      <c r="C111" s="364" t="s">
        <v>114</v>
      </c>
      <c r="D111" s="365"/>
      <c r="E111" s="34"/>
      <c r="F111" s="185"/>
    </row>
    <row r="112" spans="1:6" s="13" customFormat="1" ht="15.95" customHeight="1" thickBot="1" x14ac:dyDescent="0.3">
      <c r="A112" s="355"/>
      <c r="B112" s="357"/>
      <c r="C112" s="352" t="s">
        <v>115</v>
      </c>
      <c r="D112" s="353"/>
      <c r="E112" s="34"/>
      <c r="F112" s="174"/>
    </row>
    <row r="113" spans="1:6" s="13" customFormat="1" ht="144" customHeight="1" thickBot="1" x14ac:dyDescent="0.3">
      <c r="A113" s="54" t="s">
        <v>86</v>
      </c>
      <c r="B113" s="18" t="s">
        <v>143</v>
      </c>
      <c r="C113" s="380" t="s">
        <v>104</v>
      </c>
      <c r="D113" s="381"/>
      <c r="E113" s="34"/>
      <c r="F113" s="183" t="s">
        <v>353</v>
      </c>
    </row>
    <row r="114" spans="1:6" ht="168.95" customHeight="1" thickBot="1" x14ac:dyDescent="0.25">
      <c r="A114" s="50" t="s">
        <v>85</v>
      </c>
      <c r="B114" s="14" t="s">
        <v>170</v>
      </c>
      <c r="C114" s="380" t="s">
        <v>104</v>
      </c>
      <c r="D114" s="381"/>
      <c r="E114" s="34"/>
      <c r="F114" s="184" t="s">
        <v>360</v>
      </c>
    </row>
    <row r="115" spans="1:6" x14ac:dyDescent="0.2">
      <c r="A115" s="354" t="s">
        <v>13</v>
      </c>
      <c r="B115" s="356" t="s">
        <v>98</v>
      </c>
      <c r="C115" s="358" t="s">
        <v>30</v>
      </c>
      <c r="D115" s="359"/>
      <c r="E115" s="34"/>
      <c r="F115" s="183" t="s">
        <v>354</v>
      </c>
    </row>
    <row r="116" spans="1:6" ht="32.450000000000003" customHeight="1" thickBot="1" x14ac:dyDescent="0.25">
      <c r="A116" s="355"/>
      <c r="B116" s="357"/>
      <c r="C116" s="352" t="s">
        <v>109</v>
      </c>
      <c r="D116" s="353"/>
      <c r="E116" s="34"/>
      <c r="F116" s="174" t="s">
        <v>355</v>
      </c>
    </row>
    <row r="117" spans="1:6" ht="68.099999999999994" customHeight="1" thickBot="1" x14ac:dyDescent="0.25">
      <c r="A117" s="50" t="s">
        <v>37</v>
      </c>
      <c r="B117" s="30" t="s">
        <v>135</v>
      </c>
      <c r="C117" s="368"/>
      <c r="D117" s="369"/>
      <c r="E117" s="35"/>
      <c r="F117" s="184" t="s">
        <v>382</v>
      </c>
    </row>
    <row r="118" spans="1:6" ht="42.6" customHeight="1" thickBot="1" x14ac:dyDescent="0.25">
      <c r="A118" s="50" t="s">
        <v>38</v>
      </c>
      <c r="B118" s="30" t="s">
        <v>87</v>
      </c>
      <c r="C118" s="368"/>
      <c r="D118" s="369"/>
      <c r="E118" s="35"/>
      <c r="F118" s="184" t="s">
        <v>348</v>
      </c>
    </row>
    <row r="119" spans="1:6" ht="26.25" thickBot="1" x14ac:dyDescent="0.25">
      <c r="A119" s="50" t="s">
        <v>39</v>
      </c>
      <c r="B119" s="30" t="s">
        <v>106</v>
      </c>
      <c r="C119" s="380" t="s">
        <v>105</v>
      </c>
      <c r="D119" s="381"/>
      <c r="E119" s="34"/>
      <c r="F119" s="184" t="s">
        <v>184</v>
      </c>
    </row>
    <row r="120" spans="1:6" ht="38.25" customHeight="1" thickBot="1" x14ac:dyDescent="0.25">
      <c r="A120" s="50" t="s">
        <v>90</v>
      </c>
      <c r="B120" s="30" t="s">
        <v>129</v>
      </c>
      <c r="C120" s="368" t="s">
        <v>305</v>
      </c>
      <c r="D120" s="369"/>
      <c r="E120" s="35"/>
      <c r="F120" s="184" t="s">
        <v>404</v>
      </c>
    </row>
    <row r="121" spans="1:6" ht="26.25" thickBot="1" x14ac:dyDescent="0.25">
      <c r="A121" s="50" t="s">
        <v>40</v>
      </c>
      <c r="B121" s="30" t="s">
        <v>137</v>
      </c>
      <c r="C121" s="380" t="s">
        <v>100</v>
      </c>
      <c r="D121" s="381"/>
      <c r="E121" s="34"/>
      <c r="F121" s="174" t="s">
        <v>358</v>
      </c>
    </row>
    <row r="122" spans="1:6" ht="48" customHeight="1" thickBot="1" x14ac:dyDescent="0.25">
      <c r="A122" s="354" t="s">
        <v>14</v>
      </c>
      <c r="B122" s="356" t="s">
        <v>138</v>
      </c>
      <c r="C122" s="380" t="s">
        <v>139</v>
      </c>
      <c r="D122" s="381"/>
      <c r="E122" s="34"/>
      <c r="F122" s="184">
        <v>2</v>
      </c>
    </row>
    <row r="123" spans="1:6" ht="55.5" customHeight="1" thickBot="1" x14ac:dyDescent="0.25">
      <c r="A123" s="355"/>
      <c r="B123" s="357"/>
      <c r="C123" s="380" t="s">
        <v>279</v>
      </c>
      <c r="D123" s="381"/>
      <c r="E123" s="34"/>
      <c r="F123" s="184" t="s">
        <v>402</v>
      </c>
    </row>
    <row r="124" spans="1:6" ht="66.95" customHeight="1" thickBot="1" x14ac:dyDescent="0.25">
      <c r="A124" s="50" t="s">
        <v>91</v>
      </c>
      <c r="B124" s="30" t="s">
        <v>144</v>
      </c>
      <c r="C124" s="380" t="s">
        <v>100</v>
      </c>
      <c r="D124" s="381"/>
      <c r="E124" s="34"/>
      <c r="F124" s="184" t="s">
        <v>359</v>
      </c>
    </row>
    <row r="125" spans="1:6" ht="66" customHeight="1" thickBot="1" x14ac:dyDescent="0.25">
      <c r="A125" s="50" t="s">
        <v>92</v>
      </c>
      <c r="B125" s="30" t="s">
        <v>145</v>
      </c>
      <c r="C125" s="368"/>
      <c r="D125" s="369"/>
      <c r="E125" s="35"/>
      <c r="F125" s="184"/>
    </row>
  </sheetData>
  <sheetProtection algorithmName="SHA-512" hashValue="F+/fB7pfmUfZKQ33XMqs23dYygVfaC3a4YO84wAk+yTNiBpcSufSpZ/g0IjFfSy/j85QyyVtqtfoYb8F+F6s3w==" saltValue="DFvfjDEZIE3sF3Rslv1o8g==" spinCount="100000" sheet="1" objects="1" scenarios="1"/>
  <dataConsolidate/>
  <mergeCells count="138">
    <mergeCell ref="B10:D10"/>
    <mergeCell ref="B11:D11"/>
    <mergeCell ref="B12:D12"/>
    <mergeCell ref="B13:D13"/>
    <mergeCell ref="B14:D14"/>
    <mergeCell ref="B15:D15"/>
    <mergeCell ref="A3:D3"/>
    <mergeCell ref="A4:D4"/>
    <mergeCell ref="A6:D6"/>
    <mergeCell ref="B8:D8"/>
    <mergeCell ref="B9:D9"/>
    <mergeCell ref="A25:D25"/>
    <mergeCell ref="C26:D26"/>
    <mergeCell ref="C27:D27"/>
    <mergeCell ref="A28:A29"/>
    <mergeCell ref="B28:B29"/>
    <mergeCell ref="C28:D28"/>
    <mergeCell ref="C29:D29"/>
    <mergeCell ref="B16:D16"/>
    <mergeCell ref="B17:D17"/>
    <mergeCell ref="A19:D19"/>
    <mergeCell ref="B21:D21"/>
    <mergeCell ref="B22:D22"/>
    <mergeCell ref="B23:D23"/>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C40:D40"/>
    <mergeCell ref="A41:A48"/>
    <mergeCell ref="B41:B48"/>
    <mergeCell ref="C41:D41"/>
    <mergeCell ref="C42:D42"/>
    <mergeCell ref="C43:D43"/>
    <mergeCell ref="C44:D44"/>
    <mergeCell ref="C45:D45"/>
    <mergeCell ref="C46:D46"/>
    <mergeCell ref="C47:D47"/>
    <mergeCell ref="C52:D52"/>
    <mergeCell ref="A53:A55"/>
    <mergeCell ref="B53:B55"/>
    <mergeCell ref="C53:D53"/>
    <mergeCell ref="C54:D54"/>
    <mergeCell ref="C55:D55"/>
    <mergeCell ref="C48:D48"/>
    <mergeCell ref="A49:A51"/>
    <mergeCell ref="B49:B51"/>
    <mergeCell ref="C49:D49"/>
    <mergeCell ref="C50:D50"/>
    <mergeCell ref="C51:D51"/>
    <mergeCell ref="C62:D62"/>
    <mergeCell ref="C63:D63"/>
    <mergeCell ref="C64:D64"/>
    <mergeCell ref="C65:D65"/>
    <mergeCell ref="C66:D66"/>
    <mergeCell ref="C67:D67"/>
    <mergeCell ref="C56:D56"/>
    <mergeCell ref="C57:D57"/>
    <mergeCell ref="C58:D58"/>
    <mergeCell ref="C59:D59"/>
    <mergeCell ref="C60:D60"/>
    <mergeCell ref="C61:D61"/>
    <mergeCell ref="A75:D75"/>
    <mergeCell ref="A76:D76"/>
    <mergeCell ref="A77:D77"/>
    <mergeCell ref="A78:D78"/>
    <mergeCell ref="A79:D79"/>
    <mergeCell ref="A80:D80"/>
    <mergeCell ref="C68:D68"/>
    <mergeCell ref="C69:D69"/>
    <mergeCell ref="C70:D70"/>
    <mergeCell ref="A72:D72"/>
    <mergeCell ref="A73:D73"/>
    <mergeCell ref="A74:D74"/>
    <mergeCell ref="A87:D87"/>
    <mergeCell ref="A88:D88"/>
    <mergeCell ref="A89:D89"/>
    <mergeCell ref="A90:D90"/>
    <mergeCell ref="A92:D92"/>
    <mergeCell ref="A94:D94"/>
    <mergeCell ref="A81:D81"/>
    <mergeCell ref="A82:D82"/>
    <mergeCell ref="A83:D83"/>
    <mergeCell ref="A84:D84"/>
    <mergeCell ref="A85:D85"/>
    <mergeCell ref="A86:D86"/>
    <mergeCell ref="A91:D91"/>
    <mergeCell ref="A101:A104"/>
    <mergeCell ref="B101:B104"/>
    <mergeCell ref="C101:D101"/>
    <mergeCell ref="C102:D102"/>
    <mergeCell ref="C103:D103"/>
    <mergeCell ref="C104:D104"/>
    <mergeCell ref="C95:D95"/>
    <mergeCell ref="C96:D96"/>
    <mergeCell ref="C97:D97"/>
    <mergeCell ref="C98:D98"/>
    <mergeCell ref="C99:D99"/>
    <mergeCell ref="C100:D100"/>
    <mergeCell ref="C113:D113"/>
    <mergeCell ref="C114:D114"/>
    <mergeCell ref="A115:A116"/>
    <mergeCell ref="B115:B116"/>
    <mergeCell ref="C115:D115"/>
    <mergeCell ref="C116:D116"/>
    <mergeCell ref="A105:A112"/>
    <mergeCell ref="B105:B112"/>
    <mergeCell ref="C105:D105"/>
    <mergeCell ref="C106:D106"/>
    <mergeCell ref="C107:D107"/>
    <mergeCell ref="C108:D108"/>
    <mergeCell ref="C109:D109"/>
    <mergeCell ref="C110:D110"/>
    <mergeCell ref="C111:D111"/>
    <mergeCell ref="C112:D112"/>
    <mergeCell ref="C124:D124"/>
    <mergeCell ref="C125:D125"/>
    <mergeCell ref="C117:D117"/>
    <mergeCell ref="C118:D118"/>
    <mergeCell ref="C119:D119"/>
    <mergeCell ref="C120:D120"/>
    <mergeCell ref="C121:D121"/>
    <mergeCell ref="A122:A123"/>
    <mergeCell ref="B122:B123"/>
    <mergeCell ref="C122:D122"/>
    <mergeCell ref="C123:D123"/>
  </mergeCells>
  <conditionalFormatting sqref="C58">
    <cfRule type="expression" dxfId="285" priority="54">
      <formula>#REF!="NO"</formula>
    </cfRule>
  </conditionalFormatting>
  <conditionalFormatting sqref="C52:D55">
    <cfRule type="expression" dxfId="284" priority="43">
      <formula>$F$2="NO"</formula>
    </cfRule>
  </conditionalFormatting>
  <conditionalFormatting sqref="C27:E51">
    <cfRule type="expression" dxfId="283" priority="38">
      <formula>#REF!="NO"</formula>
    </cfRule>
  </conditionalFormatting>
  <conditionalFormatting sqref="C118:E122 C123 E123">
    <cfRule type="expression" dxfId="282" priority="49">
      <formula>#REF!="NO"</formula>
    </cfRule>
  </conditionalFormatting>
  <conditionalFormatting sqref="C96:F117">
    <cfRule type="expression" dxfId="281" priority="29">
      <formula>#REF!="NO"</formula>
    </cfRule>
  </conditionalFormatting>
  <conditionalFormatting sqref="E52:E55 C56:E70 F118:F125 C124:E125">
    <cfRule type="expression" dxfId="280" priority="55">
      <formula>#REF!="NO"</formula>
    </cfRule>
  </conditionalFormatting>
  <conditionalFormatting sqref="E74:F92">
    <cfRule type="expression" dxfId="279" priority="32">
      <formula>#REF!="NO"</formula>
    </cfRule>
  </conditionalFormatting>
  <conditionalFormatting sqref="F8:F17">
    <cfRule type="expression" dxfId="278" priority="34">
      <formula>#REF!="NO"</formula>
    </cfRule>
  </conditionalFormatting>
  <conditionalFormatting sqref="F21:F23">
    <cfRule type="expression" dxfId="277" priority="50">
      <formula>#REF!="NO"</formula>
    </cfRule>
  </conditionalFormatting>
  <conditionalFormatting sqref="F52">
    <cfRule type="expression" dxfId="276" priority="47">
      <formula>#REF!="NO"</formula>
    </cfRule>
  </conditionalFormatting>
  <conditionalFormatting sqref="F58:F70">
    <cfRule type="expression" dxfId="275" priority="48">
      <formula>#REF!="NO"</formula>
    </cfRule>
  </conditionalFormatting>
  <conditionalFormatting sqref="F27:G70">
    <cfRule type="expression" dxfId="274" priority="30">
      <formula>#REF!="NO"</formula>
    </cfRule>
  </conditionalFormatting>
  <dataValidations count="3">
    <dataValidation type="decimal" allowBlank="1" showInputMessage="1" showErrorMessage="1" error="The Additional Options NYS Discount entered must be greater than 0%, or less than or equal to 100%." sqref="F23" xr:uid="{04360D5B-BF64-4D27-B326-269A725A2540}">
      <formula1>0.01</formula1>
      <formula2>100</formula2>
    </dataValidation>
    <dataValidation type="decimal" allowBlank="1" showInputMessage="1" showErrorMessage="1" error="Invalid Entry - Bidder must enter a value that is greater than $0" sqref="F21" xr:uid="{BF74F55C-2C4B-4499-8A5D-33D0B3709DA4}">
      <formula1>0</formula1>
      <formula2>9E+21</formula2>
    </dataValidation>
    <dataValidation type="decimal" operator="greaterThanOrEqual" allowBlank="1" showInputMessage="1" showErrorMessage="1" error="The Pickup Allowance cannot be a negative number." sqref="F16" xr:uid="{300E87C9-3D1D-4153-B994-BB4DA5282D40}">
      <formula1>0</formula1>
    </dataValidation>
  </dataValidations>
  <pageMargins left="0.25" right="0.25" top="0.5" bottom="0.25" header="0.3" footer="0.3"/>
  <pageSetup scale="93" fitToHeight="0" orientation="landscape" r:id="rId1"/>
  <rowBreaks count="2" manualBreakCount="2">
    <brk id="70" max="6" man="1"/>
    <brk id="114"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5599E-B019-4681-8365-804B3E1A1950}">
  <sheetPr>
    <tabColor rgb="FFCC66FF"/>
    <pageSetUpPr autoPageBreaks="0" fitToPage="1"/>
  </sheetPr>
  <dimension ref="A1:J130"/>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7" width="20.7109375" style="187" customWidth="1"/>
    <col min="8" max="8" width="2.7109375" style="2" customWidth="1"/>
    <col min="9" max="9" width="20.7109375" style="187" customWidth="1"/>
    <col min="10" max="10" width="2.7109375" style="2" customWidth="1"/>
    <col min="11" max="16384" width="9.140625" style="2"/>
  </cols>
  <sheetData>
    <row r="1" spans="1:10" customFormat="1" ht="15" x14ac:dyDescent="0.25">
      <c r="A1" s="165" t="str">
        <f>'A (Item 2-G)'!$A$1</f>
        <v>GROUP 40524-23254, SCHOOL BUSES (Statewide)                                                             Attachment 1 - Specifications and Pricing (Revised October 15, 2026)</v>
      </c>
      <c r="B1" s="2"/>
      <c r="C1" s="2"/>
      <c r="D1" s="2"/>
      <c r="E1" s="2"/>
      <c r="F1" s="210"/>
      <c r="G1" s="287"/>
      <c r="I1" s="287"/>
    </row>
    <row r="2" spans="1:10" customFormat="1" ht="15.75" thickBot="1" x14ac:dyDescent="0.3">
      <c r="A2" s="316" t="s">
        <v>519</v>
      </c>
      <c r="B2" s="26"/>
      <c r="C2" s="26"/>
      <c r="D2" s="26"/>
      <c r="F2" s="287"/>
      <c r="G2" s="287"/>
      <c r="I2" s="287"/>
    </row>
    <row r="3" spans="1:10" ht="24" thickBot="1" x14ac:dyDescent="0.25">
      <c r="A3" s="340" t="s">
        <v>300</v>
      </c>
      <c r="B3" s="341"/>
      <c r="C3" s="341"/>
      <c r="D3" s="342"/>
      <c r="E3" s="9"/>
      <c r="F3" s="312"/>
      <c r="G3" s="312"/>
      <c r="H3" s="9"/>
      <c r="I3" s="312"/>
      <c r="J3" s="9"/>
    </row>
    <row r="4" spans="1:10" ht="51" customHeight="1" thickBot="1" x14ac:dyDescent="0.25">
      <c r="A4" s="343" t="s">
        <v>299</v>
      </c>
      <c r="B4" s="344"/>
      <c r="C4" s="344"/>
      <c r="D4" s="345"/>
      <c r="E4" s="9"/>
      <c r="F4" s="312"/>
      <c r="G4" s="312"/>
      <c r="H4" s="9"/>
      <c r="I4" s="312"/>
      <c r="J4" s="9"/>
    </row>
    <row r="5" spans="1:10" s="4" customFormat="1" ht="11.25" customHeight="1" thickBot="1" x14ac:dyDescent="0.3">
      <c r="A5" s="57"/>
      <c r="B5" s="57"/>
      <c r="C5" s="57"/>
      <c r="D5" s="57"/>
      <c r="E5" s="57"/>
      <c r="F5" s="313"/>
      <c r="G5" s="224"/>
      <c r="I5" s="224"/>
    </row>
    <row r="6" spans="1:10" s="8" customFormat="1" ht="32.25" thickBot="1" x14ac:dyDescent="0.25">
      <c r="A6" s="346" t="s">
        <v>151</v>
      </c>
      <c r="B6" s="347"/>
      <c r="C6" s="347"/>
      <c r="D6" s="348"/>
      <c r="E6" s="36"/>
      <c r="F6" s="412" t="s">
        <v>361</v>
      </c>
      <c r="G6" s="413"/>
      <c r="H6" s="202"/>
      <c r="I6" s="196" t="s">
        <v>392</v>
      </c>
      <c r="J6" s="36"/>
    </row>
    <row r="7" spans="1:10" s="4" customFormat="1" ht="15" customHeight="1" thickBot="1" x14ac:dyDescent="0.3">
      <c r="A7" s="41" t="s">
        <v>6</v>
      </c>
      <c r="B7" s="27" t="s">
        <v>165</v>
      </c>
      <c r="C7" s="32"/>
      <c r="D7" s="40"/>
      <c r="E7" s="37"/>
      <c r="F7" s="188" t="s">
        <v>17</v>
      </c>
      <c r="G7" s="188" t="s">
        <v>269</v>
      </c>
      <c r="H7" s="203"/>
      <c r="I7" s="188" t="s">
        <v>17</v>
      </c>
      <c r="J7" s="37"/>
    </row>
    <row r="8" spans="1:10" ht="65.25" thickTop="1" thickBot="1" x14ac:dyDescent="0.25">
      <c r="A8" s="42" t="s">
        <v>9</v>
      </c>
      <c r="B8" s="337" t="s">
        <v>152</v>
      </c>
      <c r="C8" s="338"/>
      <c r="D8" s="339"/>
      <c r="E8" s="13"/>
      <c r="F8" s="167" t="s">
        <v>362</v>
      </c>
      <c r="G8" s="167" t="s">
        <v>362</v>
      </c>
      <c r="H8" s="204"/>
      <c r="I8" s="167" t="s">
        <v>383</v>
      </c>
      <c r="J8" s="13"/>
    </row>
    <row r="9" spans="1:10" s="8" customFormat="1" ht="39.75" customHeight="1" thickTop="1" thickBot="1" x14ac:dyDescent="0.25">
      <c r="A9" s="42" t="s">
        <v>136</v>
      </c>
      <c r="B9" s="337" t="s">
        <v>191</v>
      </c>
      <c r="C9" s="338"/>
      <c r="D9" s="339"/>
      <c r="E9" s="13"/>
      <c r="F9" s="167" t="s">
        <v>405</v>
      </c>
      <c r="G9" s="167" t="s">
        <v>406</v>
      </c>
      <c r="H9" s="204"/>
      <c r="I9" s="167" t="s">
        <v>409</v>
      </c>
      <c r="J9" s="13"/>
    </row>
    <row r="10" spans="1:10" ht="12.75" customHeight="1" thickTop="1" x14ac:dyDescent="0.2">
      <c r="A10" s="43" t="s">
        <v>0</v>
      </c>
      <c r="B10" s="328" t="s">
        <v>154</v>
      </c>
      <c r="C10" s="329"/>
      <c r="D10" s="330"/>
      <c r="E10" s="13"/>
      <c r="F10" s="169" t="s">
        <v>180</v>
      </c>
      <c r="G10" s="169" t="s">
        <v>180</v>
      </c>
      <c r="H10" s="204"/>
      <c r="I10" s="169" t="s">
        <v>329</v>
      </c>
      <c r="J10" s="13"/>
    </row>
    <row r="11" spans="1:10" x14ac:dyDescent="0.2">
      <c r="A11" s="43" t="s">
        <v>1</v>
      </c>
      <c r="B11" s="328" t="s">
        <v>153</v>
      </c>
      <c r="C11" s="329"/>
      <c r="D11" s="330"/>
      <c r="E11" s="13"/>
      <c r="F11" s="169" t="s">
        <v>301</v>
      </c>
      <c r="G11" s="169" t="s">
        <v>407</v>
      </c>
      <c r="H11" s="204"/>
      <c r="I11" s="169">
        <v>3500</v>
      </c>
      <c r="J11" s="13"/>
    </row>
    <row r="12" spans="1:10" ht="15.6" customHeight="1" thickBot="1" x14ac:dyDescent="0.25">
      <c r="A12" s="44" t="s">
        <v>2</v>
      </c>
      <c r="B12" s="331" t="s">
        <v>155</v>
      </c>
      <c r="C12" s="332"/>
      <c r="D12" s="333"/>
      <c r="E12" s="13"/>
      <c r="F12" s="170" t="s">
        <v>364</v>
      </c>
      <c r="G12" s="170" t="s">
        <v>301</v>
      </c>
      <c r="H12" s="204"/>
      <c r="I12" s="170" t="s">
        <v>410</v>
      </c>
      <c r="J12" s="13"/>
    </row>
    <row r="13" spans="1:10" ht="13.5" thickTop="1" x14ac:dyDescent="0.2">
      <c r="A13" s="43" t="s">
        <v>3</v>
      </c>
      <c r="B13" s="328" t="s">
        <v>157</v>
      </c>
      <c r="C13" s="329"/>
      <c r="D13" s="330"/>
      <c r="E13" s="13"/>
      <c r="F13" s="169" t="s">
        <v>331</v>
      </c>
      <c r="G13" s="169" t="s">
        <v>331</v>
      </c>
      <c r="H13" s="204"/>
      <c r="I13" s="169" t="s">
        <v>331</v>
      </c>
      <c r="J13" s="13"/>
    </row>
    <row r="14" spans="1:10" x14ac:dyDescent="0.2">
      <c r="A14" s="43" t="s">
        <v>4</v>
      </c>
      <c r="B14" s="328" t="s">
        <v>156</v>
      </c>
      <c r="C14" s="329"/>
      <c r="D14" s="330"/>
      <c r="E14" s="13"/>
      <c r="F14" s="169" t="s">
        <v>365</v>
      </c>
      <c r="G14" s="169" t="s">
        <v>365</v>
      </c>
      <c r="H14" s="204"/>
      <c r="I14" s="169" t="s">
        <v>365</v>
      </c>
      <c r="J14" s="13"/>
    </row>
    <row r="15" spans="1:10" ht="15.75" customHeight="1" thickBot="1" x14ac:dyDescent="0.25">
      <c r="A15" s="45" t="s">
        <v>5</v>
      </c>
      <c r="B15" s="331" t="s">
        <v>158</v>
      </c>
      <c r="C15" s="332"/>
      <c r="D15" s="333"/>
      <c r="E15" s="13"/>
      <c r="F15" s="172" t="s">
        <v>408</v>
      </c>
      <c r="G15" s="172" t="s">
        <v>408</v>
      </c>
      <c r="H15" s="204"/>
      <c r="I15" s="172" t="s">
        <v>411</v>
      </c>
      <c r="J15" s="13"/>
    </row>
    <row r="16" spans="1:10" ht="29.25" customHeight="1" thickTop="1" x14ac:dyDescent="0.2">
      <c r="A16" s="43" t="s">
        <v>101</v>
      </c>
      <c r="B16" s="334" t="s">
        <v>160</v>
      </c>
      <c r="C16" s="335"/>
      <c r="D16" s="336"/>
      <c r="E16" s="13"/>
      <c r="F16" s="173">
        <v>100</v>
      </c>
      <c r="G16" s="173">
        <v>100</v>
      </c>
      <c r="H16" s="204"/>
      <c r="I16" s="173">
        <v>100</v>
      </c>
      <c r="J16" s="13"/>
    </row>
    <row r="17" spans="1:10" ht="30.75" customHeight="1" thickBot="1" x14ac:dyDescent="0.25">
      <c r="A17" s="45" t="s">
        <v>43</v>
      </c>
      <c r="B17" s="331" t="s">
        <v>159</v>
      </c>
      <c r="C17" s="332"/>
      <c r="D17" s="333"/>
      <c r="E17" s="13"/>
      <c r="F17" s="172" t="s">
        <v>334</v>
      </c>
      <c r="G17" s="172" t="s">
        <v>334</v>
      </c>
      <c r="H17" s="204"/>
      <c r="I17" s="172" t="s">
        <v>334</v>
      </c>
      <c r="J17" s="13"/>
    </row>
    <row r="18" spans="1:10" s="10" customFormat="1" ht="14.25" thickTop="1" thickBot="1" x14ac:dyDescent="0.25">
      <c r="C18" s="11"/>
      <c r="D18" s="11"/>
      <c r="E18" s="11"/>
      <c r="F18" s="175"/>
      <c r="G18" s="175"/>
      <c r="H18" s="175"/>
      <c r="I18" s="175"/>
      <c r="J18" s="11"/>
    </row>
    <row r="19" spans="1:10" s="12" customFormat="1" ht="32.25" thickBot="1" x14ac:dyDescent="0.25">
      <c r="A19" s="346" t="s">
        <v>150</v>
      </c>
      <c r="B19" s="347"/>
      <c r="C19" s="347"/>
      <c r="D19" s="348"/>
      <c r="E19" s="36"/>
      <c r="F19" s="412" t="s">
        <v>361</v>
      </c>
      <c r="G19" s="413"/>
      <c r="H19" s="202"/>
      <c r="I19" s="196" t="s">
        <v>392</v>
      </c>
      <c r="J19" s="36"/>
    </row>
    <row r="20" spans="1:10" s="4" customFormat="1" ht="15" customHeight="1" thickBot="1" x14ac:dyDescent="0.3">
      <c r="A20" s="55" t="s">
        <v>6</v>
      </c>
      <c r="B20" s="31" t="s">
        <v>165</v>
      </c>
      <c r="C20" s="33"/>
      <c r="D20" s="48"/>
      <c r="E20" s="37"/>
      <c r="F20" s="188" t="s">
        <v>17</v>
      </c>
      <c r="G20" s="188" t="s">
        <v>269</v>
      </c>
      <c r="H20" s="203"/>
      <c r="I20" s="188" t="s">
        <v>17</v>
      </c>
      <c r="J20" s="37"/>
    </row>
    <row r="21" spans="1:10" ht="56.25" customHeight="1" x14ac:dyDescent="0.2">
      <c r="A21" s="46" t="s">
        <v>42</v>
      </c>
      <c r="B21" s="349" t="s">
        <v>161</v>
      </c>
      <c r="C21" s="350"/>
      <c r="D21" s="351"/>
      <c r="E21" s="13"/>
      <c r="F21" s="197">
        <f>84000*('PPI Adj'!D6)</f>
        <v>98028</v>
      </c>
      <c r="G21" s="197">
        <f>104700*('PPI Adj'!D6)</f>
        <v>122184.90000000001</v>
      </c>
      <c r="H21" s="204"/>
      <c r="I21" s="197">
        <f>79900*('PPI Adj'!D6)</f>
        <v>93243.3</v>
      </c>
      <c r="J21" s="13"/>
    </row>
    <row r="22" spans="1:10" ht="42.75" customHeight="1" x14ac:dyDescent="0.2">
      <c r="A22" s="43" t="s">
        <v>20</v>
      </c>
      <c r="B22" s="328" t="s">
        <v>162</v>
      </c>
      <c r="C22" s="329"/>
      <c r="D22" s="330"/>
      <c r="E22" s="13"/>
      <c r="F22" s="198" t="s">
        <v>181</v>
      </c>
      <c r="G22" s="198" t="s">
        <v>181</v>
      </c>
      <c r="H22" s="204"/>
      <c r="I22" s="198" t="s">
        <v>181</v>
      </c>
      <c r="J22" s="13"/>
    </row>
    <row r="23" spans="1:10" ht="33" customHeight="1" thickBot="1" x14ac:dyDescent="0.25">
      <c r="A23" s="47" t="s">
        <v>41</v>
      </c>
      <c r="B23" s="370" t="s">
        <v>163</v>
      </c>
      <c r="C23" s="371"/>
      <c r="D23" s="372"/>
      <c r="E23" s="1"/>
      <c r="F23" s="179">
        <v>12</v>
      </c>
      <c r="G23" s="179">
        <v>12</v>
      </c>
      <c r="H23" s="205"/>
      <c r="I23" s="179">
        <v>12</v>
      </c>
      <c r="J23" s="1"/>
    </row>
    <row r="24" spans="1:10" ht="13.5" thickBot="1" x14ac:dyDescent="0.25">
      <c r="A24" s="58"/>
      <c r="B24" s="1"/>
      <c r="C24" s="1"/>
      <c r="D24" s="1"/>
      <c r="E24" s="1"/>
      <c r="F24" s="180"/>
      <c r="G24" s="180"/>
      <c r="H24" s="205"/>
      <c r="I24" s="180"/>
      <c r="J24" s="1"/>
    </row>
    <row r="25" spans="1:10" s="8" customFormat="1" ht="32.25" thickBot="1" x14ac:dyDescent="0.25">
      <c r="A25" s="373" t="s">
        <v>164</v>
      </c>
      <c r="B25" s="374"/>
      <c r="C25" s="374"/>
      <c r="D25" s="375"/>
      <c r="E25" s="38"/>
      <c r="F25" s="412" t="s">
        <v>361</v>
      </c>
      <c r="G25" s="413"/>
      <c r="H25" s="206"/>
      <c r="I25" s="196" t="s">
        <v>392</v>
      </c>
      <c r="J25" s="38"/>
    </row>
    <row r="26" spans="1:10" s="3" customFormat="1" ht="15" customHeight="1" thickBot="1" x14ac:dyDescent="0.3">
      <c r="A26" s="55" t="s">
        <v>6</v>
      </c>
      <c r="B26" s="56" t="s">
        <v>7</v>
      </c>
      <c r="C26" s="376" t="s">
        <v>165</v>
      </c>
      <c r="D26" s="377"/>
      <c r="E26" s="39"/>
      <c r="F26" s="188" t="s">
        <v>17</v>
      </c>
      <c r="G26" s="188" t="s">
        <v>269</v>
      </c>
      <c r="H26" s="207"/>
      <c r="I26" s="188" t="s">
        <v>17</v>
      </c>
      <c r="J26" s="39"/>
    </row>
    <row r="27" spans="1:10" s="13" customFormat="1" ht="43.5" customHeight="1" thickBot="1" x14ac:dyDescent="0.3">
      <c r="A27" s="49" t="s">
        <v>8</v>
      </c>
      <c r="B27" s="29" t="s">
        <v>131</v>
      </c>
      <c r="C27" s="352" t="s">
        <v>118</v>
      </c>
      <c r="D27" s="353"/>
      <c r="E27" s="34"/>
      <c r="F27" s="184">
        <v>14500</v>
      </c>
      <c r="G27" s="184">
        <v>14500</v>
      </c>
      <c r="H27" s="208"/>
      <c r="I27" s="184">
        <v>12300</v>
      </c>
      <c r="J27" s="34"/>
    </row>
    <row r="28" spans="1:10" s="13" customFormat="1" x14ac:dyDescent="0.25">
      <c r="A28" s="354" t="s">
        <v>21</v>
      </c>
      <c r="B28" s="356" t="s">
        <v>298</v>
      </c>
      <c r="C28" s="358" t="s">
        <v>67</v>
      </c>
      <c r="D28" s="359"/>
      <c r="E28" s="34"/>
      <c r="F28" s="183">
        <v>5</v>
      </c>
      <c r="G28" s="183">
        <v>5</v>
      </c>
      <c r="H28" s="208"/>
      <c r="I28" s="183">
        <v>5</v>
      </c>
      <c r="J28" s="34"/>
    </row>
    <row r="29" spans="1:10" s="13" customFormat="1" ht="13.5" thickBot="1" x14ac:dyDescent="0.3">
      <c r="A29" s="355"/>
      <c r="B29" s="357"/>
      <c r="C29" s="352" t="s">
        <v>68</v>
      </c>
      <c r="D29" s="353"/>
      <c r="E29" s="34"/>
      <c r="F29" s="174">
        <v>30</v>
      </c>
      <c r="G29" s="174">
        <v>30</v>
      </c>
      <c r="H29" s="208"/>
      <c r="I29" s="174">
        <v>30</v>
      </c>
      <c r="J29" s="34"/>
    </row>
    <row r="30" spans="1:10" s="13" customFormat="1" ht="13.5" thickBot="1" x14ac:dyDescent="0.3">
      <c r="A30" s="50" t="s">
        <v>123</v>
      </c>
      <c r="B30" s="30" t="s">
        <v>108</v>
      </c>
      <c r="C30" s="368"/>
      <c r="D30" s="369"/>
      <c r="E30" s="35"/>
      <c r="F30" s="184" t="s">
        <v>367</v>
      </c>
      <c r="G30" s="184" t="s">
        <v>367</v>
      </c>
      <c r="H30" s="209"/>
      <c r="I30" s="184" t="s">
        <v>367</v>
      </c>
      <c r="J30" s="35"/>
    </row>
    <row r="31" spans="1:10" s="13" customFormat="1" x14ac:dyDescent="0.25">
      <c r="A31" s="354" t="s">
        <v>59</v>
      </c>
      <c r="B31" s="356"/>
      <c r="C31" s="358" t="s">
        <v>58</v>
      </c>
      <c r="D31" s="359"/>
      <c r="E31" s="34"/>
      <c r="F31" s="183">
        <v>158</v>
      </c>
      <c r="G31" s="183">
        <v>158</v>
      </c>
      <c r="H31" s="208"/>
      <c r="I31" s="183">
        <v>159</v>
      </c>
      <c r="J31" s="34"/>
    </row>
    <row r="32" spans="1:10" s="13" customFormat="1" x14ac:dyDescent="0.25">
      <c r="A32" s="362"/>
      <c r="B32" s="363"/>
      <c r="C32" s="364" t="s">
        <v>57</v>
      </c>
      <c r="D32" s="365"/>
      <c r="E32" s="34"/>
      <c r="F32" s="169">
        <v>283</v>
      </c>
      <c r="G32" s="169">
        <v>283</v>
      </c>
      <c r="H32" s="208"/>
      <c r="I32" s="169">
        <v>289</v>
      </c>
      <c r="J32" s="34"/>
    </row>
    <row r="33" spans="1:10" s="13" customFormat="1" x14ac:dyDescent="0.25">
      <c r="A33" s="362"/>
      <c r="B33" s="363"/>
      <c r="C33" s="364" t="s">
        <v>69</v>
      </c>
      <c r="D33" s="365"/>
      <c r="E33" s="34"/>
      <c r="F33" s="169">
        <v>93</v>
      </c>
      <c r="G33" s="169">
        <v>93</v>
      </c>
      <c r="H33" s="208"/>
      <c r="I33" s="169">
        <v>93</v>
      </c>
      <c r="J33" s="34"/>
    </row>
    <row r="34" spans="1:10" s="13" customFormat="1" x14ac:dyDescent="0.25">
      <c r="A34" s="362"/>
      <c r="B34" s="363"/>
      <c r="C34" s="366" t="s">
        <v>70</v>
      </c>
      <c r="D34" s="367"/>
      <c r="E34" s="34"/>
      <c r="F34" s="169">
        <v>76</v>
      </c>
      <c r="G34" s="169">
        <v>76</v>
      </c>
      <c r="H34" s="208"/>
      <c r="I34" s="169">
        <v>76</v>
      </c>
      <c r="J34" s="34"/>
    </row>
    <row r="35" spans="1:10" s="13" customFormat="1" ht="15.6" customHeight="1" thickBot="1" x14ac:dyDescent="0.3">
      <c r="A35" s="355"/>
      <c r="B35" s="357"/>
      <c r="C35" s="352" t="s">
        <v>111</v>
      </c>
      <c r="D35" s="353"/>
      <c r="E35" s="34"/>
      <c r="F35" s="174">
        <v>100</v>
      </c>
      <c r="G35" s="174">
        <v>100</v>
      </c>
      <c r="H35" s="208"/>
      <c r="I35" s="174">
        <v>100</v>
      </c>
      <c r="J35" s="34"/>
    </row>
    <row r="36" spans="1:10" s="13" customFormat="1" x14ac:dyDescent="0.25">
      <c r="A36" s="354" t="s">
        <v>11</v>
      </c>
      <c r="B36" s="356"/>
      <c r="C36" s="358" t="s">
        <v>24</v>
      </c>
      <c r="D36" s="359"/>
      <c r="E36" s="34"/>
      <c r="F36" s="183">
        <v>5000</v>
      </c>
      <c r="G36" s="183">
        <v>5000</v>
      </c>
      <c r="H36" s="208"/>
      <c r="I36" s="183">
        <v>4300</v>
      </c>
      <c r="J36" s="34"/>
    </row>
    <row r="37" spans="1:10" s="13" customFormat="1" ht="13.5" thickBot="1" x14ac:dyDescent="0.3">
      <c r="A37" s="355"/>
      <c r="B37" s="357"/>
      <c r="C37" s="352" t="s">
        <v>22</v>
      </c>
      <c r="D37" s="353"/>
      <c r="E37" s="34"/>
      <c r="F37" s="174">
        <v>5000</v>
      </c>
      <c r="G37" s="174">
        <v>5000</v>
      </c>
      <c r="H37" s="208"/>
      <c r="I37" s="174">
        <v>4300</v>
      </c>
      <c r="J37" s="34"/>
    </row>
    <row r="38" spans="1:10" s="13" customFormat="1" ht="15" customHeight="1" x14ac:dyDescent="0.25">
      <c r="A38" s="354" t="s">
        <v>16</v>
      </c>
      <c r="B38" s="356"/>
      <c r="C38" s="358" t="s">
        <v>24</v>
      </c>
      <c r="D38" s="359"/>
      <c r="E38" s="34"/>
      <c r="F38" s="183">
        <v>9600</v>
      </c>
      <c r="G38" s="183">
        <v>9600</v>
      </c>
      <c r="H38" s="208"/>
      <c r="I38" s="183">
        <v>8600</v>
      </c>
      <c r="J38" s="34"/>
    </row>
    <row r="39" spans="1:10" s="13" customFormat="1" ht="15.95" customHeight="1" thickBot="1" x14ac:dyDescent="0.3">
      <c r="A39" s="355"/>
      <c r="B39" s="357"/>
      <c r="C39" s="360" t="s">
        <v>23</v>
      </c>
      <c r="D39" s="361"/>
      <c r="E39" s="34"/>
      <c r="F39" s="174">
        <v>9600</v>
      </c>
      <c r="G39" s="174">
        <v>9600</v>
      </c>
      <c r="H39" s="208"/>
      <c r="I39" s="174">
        <v>8600</v>
      </c>
      <c r="J39" s="34"/>
    </row>
    <row r="40" spans="1:10" s="13" customFormat="1" ht="15.95" customHeight="1" thickBot="1" x14ac:dyDescent="0.3">
      <c r="A40" s="50" t="s">
        <v>52</v>
      </c>
      <c r="B40" s="30" t="s">
        <v>53</v>
      </c>
      <c r="C40" s="368"/>
      <c r="D40" s="369"/>
      <c r="E40" s="35"/>
      <c r="F40" s="184"/>
      <c r="G40" s="184"/>
      <c r="H40" s="209"/>
      <c r="I40" s="184"/>
      <c r="J40" s="35"/>
    </row>
    <row r="41" spans="1:10" s="13" customFormat="1" ht="13.5" customHeight="1" thickBot="1" x14ac:dyDescent="0.3">
      <c r="A41" s="378" t="s">
        <v>12</v>
      </c>
      <c r="B41" s="379" t="s">
        <v>142</v>
      </c>
      <c r="C41" s="358" t="s">
        <v>174</v>
      </c>
      <c r="D41" s="359"/>
      <c r="E41" s="34"/>
      <c r="F41" s="183" t="s">
        <v>368</v>
      </c>
      <c r="G41" s="183" t="s">
        <v>368</v>
      </c>
      <c r="H41" s="208"/>
      <c r="I41" s="183" t="s">
        <v>379</v>
      </c>
      <c r="J41" s="34"/>
    </row>
    <row r="42" spans="1:10" s="13" customFormat="1" ht="13.5" customHeight="1" thickBot="1" x14ac:dyDescent="0.3">
      <c r="A42" s="378"/>
      <c r="B42" s="379"/>
      <c r="C42" s="364" t="s">
        <v>175</v>
      </c>
      <c r="D42" s="365"/>
      <c r="E42" s="34"/>
      <c r="F42" s="169">
        <v>2680</v>
      </c>
      <c r="G42" s="169">
        <v>2680</v>
      </c>
      <c r="H42" s="208"/>
      <c r="I42" s="169">
        <v>2680</v>
      </c>
      <c r="J42" s="34"/>
    </row>
    <row r="43" spans="1:10" s="13" customFormat="1" ht="13.5" customHeight="1" thickBot="1" x14ac:dyDescent="0.3">
      <c r="A43" s="378"/>
      <c r="B43" s="379"/>
      <c r="C43" s="364" t="s">
        <v>176</v>
      </c>
      <c r="D43" s="365"/>
      <c r="E43" s="34"/>
      <c r="F43" s="185" t="s">
        <v>369</v>
      </c>
      <c r="G43" s="185" t="s">
        <v>369</v>
      </c>
      <c r="H43" s="208"/>
      <c r="I43" s="185" t="s">
        <v>388</v>
      </c>
      <c r="J43" s="34"/>
    </row>
    <row r="44" spans="1:10" s="13" customFormat="1" ht="13.5" customHeight="1" thickBot="1" x14ac:dyDescent="0.3">
      <c r="A44" s="378"/>
      <c r="B44" s="379"/>
      <c r="C44" s="364" t="s">
        <v>177</v>
      </c>
      <c r="D44" s="365"/>
      <c r="E44" s="34"/>
      <c r="F44" s="169">
        <v>2470</v>
      </c>
      <c r="G44" s="169">
        <v>2470</v>
      </c>
      <c r="H44" s="208"/>
      <c r="I44" s="169">
        <v>2470</v>
      </c>
      <c r="J44" s="34"/>
    </row>
    <row r="45" spans="1:10" s="13" customFormat="1" ht="13.5" customHeight="1" thickBot="1" x14ac:dyDescent="0.3">
      <c r="A45" s="378"/>
      <c r="B45" s="379"/>
      <c r="C45" s="364" t="s">
        <v>112</v>
      </c>
      <c r="D45" s="365"/>
      <c r="E45" s="34"/>
      <c r="F45" s="169" t="s">
        <v>370</v>
      </c>
      <c r="G45" s="169" t="s">
        <v>370</v>
      </c>
      <c r="H45" s="208"/>
      <c r="I45" s="169" t="s">
        <v>389</v>
      </c>
      <c r="J45" s="34"/>
    </row>
    <row r="46" spans="1:10" s="13" customFormat="1" ht="13.5" thickBot="1" x14ac:dyDescent="0.3">
      <c r="A46" s="378"/>
      <c r="B46" s="379"/>
      <c r="C46" s="364" t="s">
        <v>113</v>
      </c>
      <c r="D46" s="365"/>
      <c r="E46" s="34"/>
      <c r="F46" s="169" t="s">
        <v>371</v>
      </c>
      <c r="G46" s="169" t="s">
        <v>371</v>
      </c>
      <c r="H46" s="208"/>
      <c r="I46" s="169" t="s">
        <v>390</v>
      </c>
      <c r="J46" s="34"/>
    </row>
    <row r="47" spans="1:10" s="13" customFormat="1" ht="13.5" customHeight="1" thickBot="1" x14ac:dyDescent="0.3">
      <c r="A47" s="378"/>
      <c r="B47" s="379"/>
      <c r="C47" s="366" t="s">
        <v>114</v>
      </c>
      <c r="D47" s="367"/>
      <c r="E47" s="34"/>
      <c r="F47" s="169" t="s">
        <v>370</v>
      </c>
      <c r="G47" s="169" t="s">
        <v>370</v>
      </c>
      <c r="H47" s="208"/>
      <c r="I47" s="169" t="s">
        <v>389</v>
      </c>
      <c r="J47" s="34"/>
    </row>
    <row r="48" spans="1:10" s="13" customFormat="1" ht="13.5" thickBot="1" x14ac:dyDescent="0.3">
      <c r="A48" s="378"/>
      <c r="B48" s="379"/>
      <c r="C48" s="352" t="s">
        <v>115</v>
      </c>
      <c r="D48" s="353"/>
      <c r="E48" s="34"/>
      <c r="F48" s="174" t="s">
        <v>371</v>
      </c>
      <c r="G48" s="174" t="s">
        <v>371</v>
      </c>
      <c r="H48" s="208"/>
      <c r="I48" s="174" t="s">
        <v>390</v>
      </c>
      <c r="J48" s="34"/>
    </row>
    <row r="49" spans="1:10" s="13" customFormat="1" x14ac:dyDescent="0.25">
      <c r="A49" s="354" t="s">
        <v>10</v>
      </c>
      <c r="B49" s="356" t="s">
        <v>62</v>
      </c>
      <c r="C49" s="358" t="s">
        <v>116</v>
      </c>
      <c r="D49" s="359"/>
      <c r="E49" s="34"/>
      <c r="F49" s="183">
        <v>6</v>
      </c>
      <c r="G49" s="183">
        <v>6</v>
      </c>
      <c r="H49" s="208"/>
      <c r="I49" s="183">
        <v>8</v>
      </c>
      <c r="J49" s="34"/>
    </row>
    <row r="50" spans="1:10" s="13" customFormat="1" x14ac:dyDescent="0.25">
      <c r="A50" s="362"/>
      <c r="B50" s="363"/>
      <c r="C50" s="364" t="s">
        <v>117</v>
      </c>
      <c r="D50" s="365"/>
      <c r="E50" s="34"/>
      <c r="F50" s="169" t="s">
        <v>372</v>
      </c>
      <c r="G50" s="169" t="s">
        <v>372</v>
      </c>
      <c r="H50" s="208"/>
      <c r="I50" s="169" t="s">
        <v>372</v>
      </c>
      <c r="J50" s="34"/>
    </row>
    <row r="51" spans="1:10" s="13" customFormat="1" ht="13.5" thickBot="1" x14ac:dyDescent="0.3">
      <c r="A51" s="362"/>
      <c r="B51" s="363"/>
      <c r="C51" s="360" t="s">
        <v>71</v>
      </c>
      <c r="D51" s="361"/>
      <c r="E51" s="34"/>
      <c r="F51" s="171" t="s">
        <v>373</v>
      </c>
      <c r="G51" s="171" t="s">
        <v>373</v>
      </c>
      <c r="H51" s="208"/>
      <c r="I51" s="171" t="s">
        <v>391</v>
      </c>
      <c r="J51" s="34"/>
    </row>
    <row r="52" spans="1:10" s="13" customFormat="1" ht="82.5" customHeight="1" thickBot="1" x14ac:dyDescent="0.3">
      <c r="A52" s="51" t="s">
        <v>9</v>
      </c>
      <c r="B52" s="28" t="s">
        <v>140</v>
      </c>
      <c r="C52" s="366"/>
      <c r="D52" s="367"/>
      <c r="E52" s="34"/>
      <c r="F52" s="183"/>
      <c r="G52" s="183"/>
      <c r="H52" s="208"/>
      <c r="I52" s="183"/>
      <c r="J52" s="34"/>
    </row>
    <row r="53" spans="1:10" s="13" customFormat="1" x14ac:dyDescent="0.25">
      <c r="A53" s="354" t="s">
        <v>25</v>
      </c>
      <c r="B53" s="356" t="s">
        <v>93</v>
      </c>
      <c r="C53" s="358" t="s">
        <v>72</v>
      </c>
      <c r="D53" s="359"/>
      <c r="E53" s="34"/>
      <c r="F53" s="183" t="s">
        <v>374</v>
      </c>
      <c r="G53" s="183" t="s">
        <v>374</v>
      </c>
      <c r="H53" s="208"/>
      <c r="I53" s="183" t="s">
        <v>341</v>
      </c>
      <c r="J53" s="34"/>
    </row>
    <row r="54" spans="1:10" s="13" customFormat="1" ht="54.95" customHeight="1" thickBot="1" x14ac:dyDescent="0.3">
      <c r="A54" s="355"/>
      <c r="B54" s="357"/>
      <c r="C54" s="352" t="s">
        <v>73</v>
      </c>
      <c r="D54" s="353"/>
      <c r="E54" s="34"/>
      <c r="F54" s="174">
        <v>210</v>
      </c>
      <c r="G54" s="174">
        <v>210</v>
      </c>
      <c r="H54" s="208"/>
      <c r="I54" s="174">
        <v>220</v>
      </c>
      <c r="J54" s="34"/>
    </row>
    <row r="55" spans="1:10" s="13" customFormat="1" x14ac:dyDescent="0.25">
      <c r="A55" s="354" t="s">
        <v>26</v>
      </c>
      <c r="B55" s="356"/>
      <c r="C55" s="358" t="s">
        <v>74</v>
      </c>
      <c r="D55" s="359"/>
      <c r="E55" s="34"/>
      <c r="F55" s="183" t="s">
        <v>375</v>
      </c>
      <c r="G55" s="183" t="s">
        <v>375</v>
      </c>
      <c r="H55" s="208"/>
      <c r="I55" s="183" t="s">
        <v>296</v>
      </c>
      <c r="J55" s="34"/>
    </row>
    <row r="56" spans="1:10" s="13" customFormat="1" x14ac:dyDescent="0.25">
      <c r="A56" s="362"/>
      <c r="B56" s="363"/>
      <c r="C56" s="364" t="s">
        <v>75</v>
      </c>
      <c r="D56" s="365"/>
      <c r="E56" s="34"/>
      <c r="F56" s="169">
        <v>1</v>
      </c>
      <c r="G56" s="169">
        <v>1</v>
      </c>
      <c r="H56" s="208"/>
      <c r="I56" s="169">
        <v>2</v>
      </c>
      <c r="J56" s="34"/>
    </row>
    <row r="57" spans="1:10" s="13" customFormat="1" ht="13.5" thickBot="1" x14ac:dyDescent="0.3">
      <c r="A57" s="355"/>
      <c r="B57" s="357"/>
      <c r="C57" s="352" t="s">
        <v>76</v>
      </c>
      <c r="D57" s="353"/>
      <c r="E57" s="34"/>
      <c r="F57" s="174">
        <v>750</v>
      </c>
      <c r="G57" s="174">
        <v>750</v>
      </c>
      <c r="H57" s="208"/>
      <c r="I57" s="174">
        <v>770</v>
      </c>
      <c r="J57" s="34"/>
    </row>
    <row r="58" spans="1:10" s="13" customFormat="1" ht="14.45" customHeight="1" thickBot="1" x14ac:dyDescent="0.3">
      <c r="A58" s="50" t="s">
        <v>44</v>
      </c>
      <c r="B58" s="30" t="s">
        <v>45</v>
      </c>
      <c r="C58" s="368"/>
      <c r="D58" s="369"/>
      <c r="E58" s="35"/>
      <c r="F58" s="186"/>
      <c r="G58" s="186"/>
      <c r="H58" s="209"/>
      <c r="I58" s="186"/>
      <c r="J58" s="35"/>
    </row>
    <row r="59" spans="1:10" s="13" customFormat="1" ht="28.5" customHeight="1" thickBot="1" x14ac:dyDescent="0.3">
      <c r="A59" s="50" t="s">
        <v>44</v>
      </c>
      <c r="B59" s="30" t="s">
        <v>63</v>
      </c>
      <c r="C59" s="368"/>
      <c r="D59" s="369"/>
      <c r="E59" s="35"/>
      <c r="F59" s="186"/>
      <c r="G59" s="186"/>
      <c r="H59" s="209"/>
      <c r="I59" s="186"/>
      <c r="J59" s="35"/>
    </row>
    <row r="60" spans="1:10" s="13" customFormat="1" ht="30" customHeight="1" thickBot="1" x14ac:dyDescent="0.3">
      <c r="A60" s="50" t="s">
        <v>44</v>
      </c>
      <c r="B60" s="30" t="s">
        <v>64</v>
      </c>
      <c r="C60" s="368"/>
      <c r="D60" s="369"/>
      <c r="E60" s="35"/>
      <c r="F60" s="186"/>
      <c r="G60" s="186"/>
      <c r="H60" s="209"/>
      <c r="I60" s="186"/>
      <c r="J60" s="35"/>
    </row>
    <row r="61" spans="1:10" s="13" customFormat="1" ht="18.600000000000001" customHeight="1" thickBot="1" x14ac:dyDescent="0.3">
      <c r="A61" s="50" t="s">
        <v>50</v>
      </c>
      <c r="B61" s="30" t="s">
        <v>65</v>
      </c>
      <c r="C61" s="368"/>
      <c r="D61" s="369"/>
      <c r="E61" s="35"/>
      <c r="F61" s="186"/>
      <c r="G61" s="186"/>
      <c r="H61" s="209"/>
      <c r="I61" s="186"/>
      <c r="J61" s="35"/>
    </row>
    <row r="62" spans="1:10" s="13" customFormat="1" ht="13.5" thickBot="1" x14ac:dyDescent="0.3">
      <c r="A62" s="50" t="s">
        <v>27</v>
      </c>
      <c r="B62" s="30"/>
      <c r="C62" s="380" t="s">
        <v>77</v>
      </c>
      <c r="D62" s="381"/>
      <c r="E62" s="34"/>
      <c r="F62" s="184" t="s">
        <v>376</v>
      </c>
      <c r="G62" s="184" t="s">
        <v>376</v>
      </c>
      <c r="H62" s="208"/>
      <c r="I62" s="184" t="s">
        <v>376</v>
      </c>
      <c r="J62" s="34"/>
    </row>
    <row r="63" spans="1:10" s="13" customFormat="1" ht="39.6" customHeight="1" thickBot="1" x14ac:dyDescent="0.3">
      <c r="A63" s="50" t="s">
        <v>28</v>
      </c>
      <c r="B63" s="30" t="s">
        <v>179</v>
      </c>
      <c r="C63" s="380" t="s">
        <v>78</v>
      </c>
      <c r="D63" s="381"/>
      <c r="E63" s="34"/>
      <c r="F63" s="184" t="s">
        <v>377</v>
      </c>
      <c r="G63" s="184" t="s">
        <v>377</v>
      </c>
      <c r="H63" s="208"/>
      <c r="I63" s="184" t="s">
        <v>343</v>
      </c>
      <c r="J63" s="34"/>
    </row>
    <row r="64" spans="1:10" s="13" customFormat="1" ht="39.6" customHeight="1" thickBot="1" x14ac:dyDescent="0.3">
      <c r="A64" s="50" t="s">
        <v>51</v>
      </c>
      <c r="B64" s="30" t="s">
        <v>79</v>
      </c>
      <c r="C64" s="368"/>
      <c r="D64" s="369"/>
      <c r="E64" s="35"/>
      <c r="F64" s="184"/>
      <c r="G64" s="184"/>
      <c r="H64" s="209"/>
      <c r="I64" s="184"/>
      <c r="J64" s="35"/>
    </row>
    <row r="65" spans="1:10" s="13" customFormat="1" ht="41.1" customHeight="1" thickBot="1" x14ac:dyDescent="0.3">
      <c r="A65" s="50" t="s">
        <v>54</v>
      </c>
      <c r="B65" s="30" t="s">
        <v>80</v>
      </c>
      <c r="C65" s="368"/>
      <c r="D65" s="369"/>
      <c r="E65" s="35"/>
      <c r="F65" s="184"/>
      <c r="G65" s="184"/>
      <c r="H65" s="209"/>
      <c r="I65" s="184"/>
      <c r="J65" s="35"/>
    </row>
    <row r="66" spans="1:10" s="13" customFormat="1" ht="78" customHeight="1" thickBot="1" x14ac:dyDescent="0.3">
      <c r="A66" s="50" t="s">
        <v>29</v>
      </c>
      <c r="B66" s="30" t="s">
        <v>132</v>
      </c>
      <c r="C66" s="368"/>
      <c r="D66" s="369"/>
      <c r="E66" s="35"/>
      <c r="F66" s="184"/>
      <c r="G66" s="184"/>
      <c r="H66" s="209"/>
      <c r="I66" s="184"/>
      <c r="J66" s="35"/>
    </row>
    <row r="67" spans="1:10" s="13" customFormat="1" ht="39" thickBot="1" x14ac:dyDescent="0.3">
      <c r="A67" s="50" t="s">
        <v>31</v>
      </c>
      <c r="B67" s="30" t="s">
        <v>94</v>
      </c>
      <c r="C67" s="380" t="s">
        <v>30</v>
      </c>
      <c r="D67" s="381"/>
      <c r="E67" s="34"/>
      <c r="F67" s="184" t="s">
        <v>344</v>
      </c>
      <c r="G67" s="184" t="s">
        <v>344</v>
      </c>
      <c r="H67" s="208"/>
      <c r="I67" s="184" t="s">
        <v>344</v>
      </c>
      <c r="J67" s="34"/>
    </row>
    <row r="68" spans="1:10" s="13" customFormat="1" ht="28.5" customHeight="1" thickBot="1" x14ac:dyDescent="0.3">
      <c r="A68" s="50" t="s">
        <v>55</v>
      </c>
      <c r="B68" s="30" t="s">
        <v>95</v>
      </c>
      <c r="C68" s="368"/>
      <c r="D68" s="369"/>
      <c r="E68" s="35"/>
      <c r="F68" s="184"/>
      <c r="G68" s="184"/>
      <c r="H68" s="209"/>
      <c r="I68" s="184"/>
      <c r="J68" s="35"/>
    </row>
    <row r="69" spans="1:10" s="13" customFormat="1" ht="26.25" thickBot="1" x14ac:dyDescent="0.3">
      <c r="A69" s="50" t="s">
        <v>32</v>
      </c>
      <c r="B69" s="30" t="s">
        <v>96</v>
      </c>
      <c r="C69" s="380" t="s">
        <v>30</v>
      </c>
      <c r="D69" s="381"/>
      <c r="E69" s="34"/>
      <c r="F69" s="184" t="s">
        <v>345</v>
      </c>
      <c r="G69" s="184" t="s">
        <v>345</v>
      </c>
      <c r="H69" s="208"/>
      <c r="I69" s="184" t="s">
        <v>345</v>
      </c>
      <c r="J69" s="34"/>
    </row>
    <row r="70" spans="1:10" s="13" customFormat="1" ht="40.5" customHeight="1" thickBot="1" x14ac:dyDescent="0.3">
      <c r="A70" s="50" t="s">
        <v>56</v>
      </c>
      <c r="B70" s="30" t="s">
        <v>167</v>
      </c>
      <c r="C70" s="368"/>
      <c r="D70" s="369"/>
      <c r="E70" s="35"/>
      <c r="F70" s="184"/>
      <c r="G70" s="184"/>
      <c r="H70" s="209"/>
      <c r="I70" s="184"/>
      <c r="J70" s="35"/>
    </row>
    <row r="71" spans="1:10" s="13" customFormat="1" ht="27.95" customHeight="1" thickBot="1" x14ac:dyDescent="0.3">
      <c r="A71" s="50" t="s">
        <v>48</v>
      </c>
      <c r="B71" s="30" t="s">
        <v>47</v>
      </c>
      <c r="C71" s="368"/>
      <c r="D71" s="369"/>
      <c r="E71" s="35"/>
      <c r="F71" s="184"/>
      <c r="G71" s="184"/>
      <c r="H71" s="209"/>
      <c r="I71" s="184"/>
      <c r="J71" s="35"/>
    </row>
    <row r="72" spans="1:10" s="13" customFormat="1" ht="27" customHeight="1" thickBot="1" x14ac:dyDescent="0.3">
      <c r="A72" s="50" t="s">
        <v>49</v>
      </c>
      <c r="B72" s="30" t="s">
        <v>103</v>
      </c>
      <c r="C72" s="368"/>
      <c r="D72" s="369"/>
      <c r="E72" s="35"/>
      <c r="F72" s="184"/>
      <c r="G72" s="184"/>
      <c r="H72" s="209"/>
      <c r="I72" s="184"/>
      <c r="J72" s="35"/>
    </row>
    <row r="73" spans="1:10" s="13" customFormat="1" ht="26.25" thickBot="1" x14ac:dyDescent="0.3">
      <c r="A73" s="50" t="s">
        <v>46</v>
      </c>
      <c r="B73" s="30" t="s">
        <v>81</v>
      </c>
      <c r="C73" s="368"/>
      <c r="D73" s="369"/>
      <c r="E73" s="35"/>
      <c r="F73" s="184"/>
      <c r="G73" s="184"/>
      <c r="H73" s="209"/>
      <c r="I73" s="184"/>
      <c r="J73" s="35"/>
    </row>
    <row r="74" spans="1:10" ht="13.5" thickBot="1" x14ac:dyDescent="0.25">
      <c r="H74" s="210"/>
    </row>
    <row r="75" spans="1:10" s="17" customFormat="1" ht="32.25" thickBot="1" x14ac:dyDescent="0.3">
      <c r="A75" s="373" t="s">
        <v>168</v>
      </c>
      <c r="B75" s="374"/>
      <c r="C75" s="374"/>
      <c r="D75" s="375"/>
      <c r="E75" s="38"/>
      <c r="F75" s="412" t="s">
        <v>361</v>
      </c>
      <c r="G75" s="413"/>
      <c r="H75" s="211"/>
      <c r="I75" s="196" t="s">
        <v>392</v>
      </c>
    </row>
    <row r="76" spans="1:10" s="3" customFormat="1" ht="15" customHeight="1" thickBot="1" x14ac:dyDescent="0.3">
      <c r="A76" s="382" t="s">
        <v>169</v>
      </c>
      <c r="B76" s="383"/>
      <c r="C76" s="383"/>
      <c r="D76" s="384"/>
      <c r="E76" s="39"/>
      <c r="F76" s="188" t="s">
        <v>17</v>
      </c>
      <c r="G76" s="188" t="s">
        <v>269</v>
      </c>
      <c r="H76" s="212"/>
      <c r="I76" s="188" t="s">
        <v>17</v>
      </c>
    </row>
    <row r="77" spans="1:10" s="13" customFormat="1" ht="12.75" customHeight="1" x14ac:dyDescent="0.25">
      <c r="A77" s="409" t="s">
        <v>82</v>
      </c>
      <c r="B77" s="410"/>
      <c r="C77" s="410"/>
      <c r="D77" s="411"/>
      <c r="E77" s="35"/>
      <c r="F77" s="199" t="s">
        <v>181</v>
      </c>
      <c r="G77" s="199" t="s">
        <v>181</v>
      </c>
      <c r="H77" s="208"/>
      <c r="I77" s="199" t="s">
        <v>181</v>
      </c>
      <c r="J77" s="34"/>
    </row>
    <row r="78" spans="1:10" s="13" customFormat="1" ht="12.75" customHeight="1" x14ac:dyDescent="0.25">
      <c r="A78" s="404" t="s">
        <v>83</v>
      </c>
      <c r="B78" s="405"/>
      <c r="C78" s="405"/>
      <c r="D78" s="406"/>
      <c r="E78" s="35"/>
      <c r="F78" s="189">
        <f>-1257.64*('PPI Adj'!D6)</f>
        <v>-1467.6658800000002</v>
      </c>
      <c r="G78" s="189">
        <f>-1257.64*('PPI Adj'!D6)</f>
        <v>-1467.6658800000002</v>
      </c>
      <c r="H78" s="208"/>
      <c r="I78" s="189">
        <f>-1257.64*('PPI Adj'!D6)</f>
        <v>-1467.6658800000002</v>
      </c>
      <c r="J78" s="34"/>
    </row>
    <row r="79" spans="1:10" s="13" customFormat="1" ht="12.75" customHeight="1" x14ac:dyDescent="0.25">
      <c r="A79" s="394" t="s">
        <v>34</v>
      </c>
      <c r="B79" s="395"/>
      <c r="C79" s="395"/>
      <c r="D79" s="396"/>
      <c r="E79" s="34"/>
      <c r="F79" s="190">
        <f>593.33*('PPI Adj'!D6)</f>
        <v>692.41611000000012</v>
      </c>
      <c r="G79" s="190">
        <f>593.33*('PPI Adj'!D6)</f>
        <v>692.41611000000012</v>
      </c>
      <c r="H79" s="208"/>
      <c r="I79" s="190">
        <f>593.33*('PPI Adj'!D6)</f>
        <v>692.41611000000012</v>
      </c>
      <c r="J79" s="34"/>
    </row>
    <row r="80" spans="1:10" s="13" customFormat="1" x14ac:dyDescent="0.25">
      <c r="A80" s="394" t="s">
        <v>35</v>
      </c>
      <c r="B80" s="395"/>
      <c r="C80" s="395"/>
      <c r="D80" s="396"/>
      <c r="E80" s="35"/>
      <c r="F80" s="190" t="s">
        <v>183</v>
      </c>
      <c r="G80" s="190" t="s">
        <v>183</v>
      </c>
      <c r="H80" s="208"/>
      <c r="I80" s="190" t="s">
        <v>183</v>
      </c>
      <c r="J80" s="34"/>
    </row>
    <row r="81" spans="1:10" s="13" customFormat="1" x14ac:dyDescent="0.25">
      <c r="A81" s="394" t="s">
        <v>36</v>
      </c>
      <c r="B81" s="395"/>
      <c r="C81" s="395"/>
      <c r="D81" s="396"/>
      <c r="E81" s="34"/>
      <c r="F81" s="190">
        <f>270*('PPI Adj'!D6)</f>
        <v>315.09000000000003</v>
      </c>
      <c r="G81" s="190">
        <f>270*('PPI Adj'!D6)</f>
        <v>315.09000000000003</v>
      </c>
      <c r="H81" s="208"/>
      <c r="I81" s="190">
        <f>325*('PPI Adj'!D6)</f>
        <v>379.27500000000003</v>
      </c>
      <c r="J81" s="34"/>
    </row>
    <row r="82" spans="1:10" s="13" customFormat="1" x14ac:dyDescent="0.25">
      <c r="A82" s="394" t="s">
        <v>60</v>
      </c>
      <c r="B82" s="395"/>
      <c r="C82" s="395"/>
      <c r="D82" s="396"/>
      <c r="E82" s="34"/>
      <c r="F82" s="190">
        <f>371.13*('PPI Adj'!D6)</f>
        <v>433.10871000000003</v>
      </c>
      <c r="G82" s="190">
        <f>371.13*('PPI Adj'!D6)</f>
        <v>433.10871000000003</v>
      </c>
      <c r="H82" s="208"/>
      <c r="I82" s="190">
        <f>371.13*('PPI Adj'!D6)</f>
        <v>433.10871000000003</v>
      </c>
      <c r="J82" s="34"/>
    </row>
    <row r="83" spans="1:10" s="13" customFormat="1" x14ac:dyDescent="0.25">
      <c r="A83" s="394" t="s">
        <v>61</v>
      </c>
      <c r="B83" s="395"/>
      <c r="C83" s="395"/>
      <c r="D83" s="396"/>
      <c r="E83" s="34"/>
      <c r="F83" s="190" t="s">
        <v>183</v>
      </c>
      <c r="G83" s="190" t="s">
        <v>183</v>
      </c>
      <c r="H83" s="208"/>
      <c r="I83" s="190" t="s">
        <v>183</v>
      </c>
      <c r="J83" s="34"/>
    </row>
    <row r="84" spans="1:10" s="13" customFormat="1" ht="12.75" customHeight="1" x14ac:dyDescent="0.25">
      <c r="A84" s="394" t="s">
        <v>86</v>
      </c>
      <c r="B84" s="395"/>
      <c r="C84" s="395"/>
      <c r="D84" s="396"/>
      <c r="E84" s="34"/>
      <c r="F84" s="190">
        <f>650.5*('PPI Adj'!D6)</f>
        <v>759.13350000000003</v>
      </c>
      <c r="G84" s="190">
        <f>650.5*('PPI Adj'!D6)</f>
        <v>759.13350000000003</v>
      </c>
      <c r="H84" s="208"/>
      <c r="I84" s="190">
        <f>650.5*('PPI Adj'!D6)</f>
        <v>759.13350000000003</v>
      </c>
      <c r="J84" s="34"/>
    </row>
    <row r="85" spans="1:10" ht="12.75" customHeight="1" x14ac:dyDescent="0.2">
      <c r="A85" s="394" t="s">
        <v>85</v>
      </c>
      <c r="B85" s="395"/>
      <c r="C85" s="395"/>
      <c r="D85" s="396"/>
      <c r="E85" s="34"/>
      <c r="F85" s="190">
        <f>1568.09*('PPI Adj'!D6)</f>
        <v>1829.9610299999999</v>
      </c>
      <c r="G85" s="190">
        <f>1568.09*('PPI Adj'!D6)</f>
        <v>1829.9610299999999</v>
      </c>
      <c r="H85" s="187"/>
      <c r="I85" s="190">
        <f>1568.09*('PPI Adj'!D6)</f>
        <v>1829.9610299999999</v>
      </c>
      <c r="J85" s="75"/>
    </row>
    <row r="86" spans="1:10" x14ac:dyDescent="0.2">
      <c r="A86" s="394" t="s">
        <v>13</v>
      </c>
      <c r="B86" s="395"/>
      <c r="C86" s="395"/>
      <c r="D86" s="396"/>
      <c r="E86" s="34"/>
      <c r="F86" s="190">
        <f>7296.4*('PPI Adj'!D6)</f>
        <v>8514.898799999999</v>
      </c>
      <c r="G86" s="190">
        <f>7296.4*('PPI Adj'!D6)</f>
        <v>8514.898799999999</v>
      </c>
      <c r="H86" s="187"/>
      <c r="I86" s="190">
        <f>7296.4*('PPI Adj'!D6)</f>
        <v>8514.898799999999</v>
      </c>
      <c r="J86" s="75"/>
    </row>
    <row r="87" spans="1:10" ht="12.75" customHeight="1" x14ac:dyDescent="0.2">
      <c r="A87" s="394" t="s">
        <v>37</v>
      </c>
      <c r="B87" s="395"/>
      <c r="C87" s="395"/>
      <c r="D87" s="396"/>
      <c r="E87" s="35"/>
      <c r="F87" s="190">
        <f>514.48*('PPI Adj'!D6)</f>
        <v>600.39816000000008</v>
      </c>
      <c r="G87" s="190">
        <f>514.48*('PPI Adj'!D6)</f>
        <v>600.39816000000008</v>
      </c>
      <c r="H87" s="187"/>
      <c r="I87" s="190">
        <f>514.48*('PPI Adj'!D6)</f>
        <v>600.39816000000008</v>
      </c>
      <c r="J87" s="75"/>
    </row>
    <row r="88" spans="1:10" x14ac:dyDescent="0.2">
      <c r="A88" s="394" t="s">
        <v>38</v>
      </c>
      <c r="B88" s="395"/>
      <c r="C88" s="395"/>
      <c r="D88" s="396"/>
      <c r="E88" s="35"/>
      <c r="F88" s="190" t="s">
        <v>183</v>
      </c>
      <c r="G88" s="190" t="s">
        <v>183</v>
      </c>
      <c r="H88" s="187"/>
      <c r="I88" s="190" t="s">
        <v>183</v>
      </c>
      <c r="J88" s="75"/>
    </row>
    <row r="89" spans="1:10" x14ac:dyDescent="0.2">
      <c r="A89" s="394" t="s">
        <v>39</v>
      </c>
      <c r="B89" s="395"/>
      <c r="C89" s="395"/>
      <c r="D89" s="396"/>
      <c r="E89" s="34"/>
      <c r="F89" s="190">
        <f>669.22*('PPI Adj'!D6)</f>
        <v>780.97974000000011</v>
      </c>
      <c r="G89" s="190">
        <f>669.22*('PPI Adj'!D6)</f>
        <v>780.97974000000011</v>
      </c>
      <c r="H89" s="187"/>
      <c r="I89" s="190">
        <f>669.22*('PPI Adj'!D6)</f>
        <v>780.97974000000011</v>
      </c>
      <c r="J89" s="75"/>
    </row>
    <row r="90" spans="1:10" ht="12.75" customHeight="1" x14ac:dyDescent="0.2">
      <c r="A90" s="394" t="s">
        <v>90</v>
      </c>
      <c r="B90" s="395"/>
      <c r="C90" s="395"/>
      <c r="D90" s="396"/>
      <c r="E90" s="35"/>
      <c r="F90" s="190">
        <f>230.63*('PPI Adj'!D6)</f>
        <v>269.14521000000002</v>
      </c>
      <c r="G90" s="190">
        <f>230.63*('PPI Adj'!D6)</f>
        <v>269.14521000000002</v>
      </c>
      <c r="H90" s="187"/>
      <c r="I90" s="190">
        <f>230.63*('PPI Adj'!D6)</f>
        <v>269.14521000000002</v>
      </c>
      <c r="J90" s="75"/>
    </row>
    <row r="91" spans="1:10" ht="12.75" customHeight="1" x14ac:dyDescent="0.2">
      <c r="A91" s="394" t="s">
        <v>88</v>
      </c>
      <c r="B91" s="395"/>
      <c r="C91" s="395"/>
      <c r="D91" s="396"/>
      <c r="E91" s="34"/>
      <c r="F91" s="190" t="s">
        <v>181</v>
      </c>
      <c r="G91" s="190" t="s">
        <v>181</v>
      </c>
      <c r="H91" s="187"/>
      <c r="I91" s="190" t="s">
        <v>181</v>
      </c>
      <c r="J91" s="75"/>
    </row>
    <row r="92" spans="1:10" x14ac:dyDescent="0.2">
      <c r="A92" s="394" t="s">
        <v>40</v>
      </c>
      <c r="B92" s="395"/>
      <c r="C92" s="395"/>
      <c r="D92" s="396"/>
      <c r="E92" s="34"/>
      <c r="F92" s="190">
        <f>157.7*('PPI Adj'!D6)</f>
        <v>184.0359</v>
      </c>
      <c r="G92" s="190">
        <f>157.7*('PPI Adj'!D6)</f>
        <v>184.0359</v>
      </c>
      <c r="H92" s="187"/>
      <c r="I92" s="190">
        <f>157.7*('PPI Adj'!D6)</f>
        <v>184.0359</v>
      </c>
      <c r="J92" s="75"/>
    </row>
    <row r="93" spans="1:10" x14ac:dyDescent="0.2">
      <c r="A93" s="394" t="s">
        <v>14</v>
      </c>
      <c r="B93" s="395"/>
      <c r="C93" s="395"/>
      <c r="D93" s="396"/>
      <c r="E93" s="34"/>
      <c r="F93" s="190">
        <f>3836.94*('PPI Adj'!D6)</f>
        <v>4477.7089800000003</v>
      </c>
      <c r="G93" s="190">
        <f>3836.94*('PPI Adj'!D6)</f>
        <v>4477.7089800000003</v>
      </c>
      <c r="H93" s="187"/>
      <c r="I93" s="190">
        <f>3836.94*('PPI Adj'!D6)</f>
        <v>4477.7089800000003</v>
      </c>
      <c r="J93" s="75"/>
    </row>
    <row r="94" spans="1:10" ht="12.75" customHeight="1" x14ac:dyDescent="0.2">
      <c r="A94" s="394" t="s">
        <v>91</v>
      </c>
      <c r="B94" s="395"/>
      <c r="C94" s="395"/>
      <c r="D94" s="396"/>
      <c r="E94" s="34"/>
      <c r="F94" s="190">
        <f>1800*('PPI Adj'!D6)</f>
        <v>2100.6</v>
      </c>
      <c r="G94" s="190">
        <f>1800*('PPI Adj'!D6)</f>
        <v>2100.6</v>
      </c>
      <c r="H94" s="187"/>
      <c r="I94" s="190">
        <f>1800*('PPI Adj'!D6)</f>
        <v>2100.6</v>
      </c>
      <c r="J94" s="75"/>
    </row>
    <row r="95" spans="1:10" ht="12.75" customHeight="1" x14ac:dyDescent="0.2">
      <c r="A95" s="394" t="s">
        <v>275</v>
      </c>
      <c r="B95" s="395"/>
      <c r="C95" s="395"/>
      <c r="D95" s="396"/>
      <c r="E95" s="34"/>
      <c r="F95" s="190">
        <f>-473.13*('PPI Adj'!D6)</f>
        <v>-552.14270999999997</v>
      </c>
      <c r="G95" s="190">
        <f>-473.13*('PPI Adj'!D6)</f>
        <v>-552.14270999999997</v>
      </c>
      <c r="H95" s="187"/>
      <c r="I95" s="190">
        <f>-473.13*('PPI Adj'!D6)</f>
        <v>-552.14270999999997</v>
      </c>
      <c r="J95" s="75"/>
    </row>
    <row r="96" spans="1:10" ht="13.5" customHeight="1" thickBot="1" x14ac:dyDescent="0.25">
      <c r="A96" s="414" t="s">
        <v>92</v>
      </c>
      <c r="B96" s="415"/>
      <c r="C96" s="415"/>
      <c r="D96" s="416"/>
      <c r="E96" s="35"/>
      <c r="F96" s="190">
        <f>1427.13*('PPI Adj'!D6)</f>
        <v>1665.4607100000003</v>
      </c>
      <c r="G96" s="190">
        <f>1427.13*('PPI Adj'!D6)</f>
        <v>1665.4607100000003</v>
      </c>
      <c r="H96" s="187"/>
      <c r="I96" s="190">
        <f>1427.13*('PPI Adj'!D6)</f>
        <v>1665.4607100000003</v>
      </c>
      <c r="J96" s="75"/>
    </row>
    <row r="97" spans="1:9" ht="13.5" customHeight="1" thickBot="1" x14ac:dyDescent="0.25">
      <c r="H97" s="210"/>
    </row>
    <row r="98" spans="1:9" s="17" customFormat="1" ht="32.25" thickBot="1" x14ac:dyDescent="0.3">
      <c r="A98" s="373" t="s">
        <v>166</v>
      </c>
      <c r="B98" s="374"/>
      <c r="C98" s="374"/>
      <c r="D98" s="375"/>
      <c r="E98" s="38"/>
      <c r="F98" s="412" t="s">
        <v>361</v>
      </c>
      <c r="G98" s="413"/>
      <c r="H98" s="211"/>
      <c r="I98" s="196" t="s">
        <v>392</v>
      </c>
    </row>
    <row r="99" spans="1:9" s="3" customFormat="1" ht="15" customHeight="1" thickBot="1" x14ac:dyDescent="0.3">
      <c r="A99" s="52" t="s">
        <v>33</v>
      </c>
      <c r="B99" s="24" t="s">
        <v>7</v>
      </c>
      <c r="C99" s="397" t="s">
        <v>165</v>
      </c>
      <c r="D99" s="398"/>
      <c r="E99" s="39"/>
      <c r="F99" s="188" t="s">
        <v>17</v>
      </c>
      <c r="G99" s="188" t="s">
        <v>269</v>
      </c>
      <c r="H99" s="212"/>
      <c r="I99" s="188" t="s">
        <v>17</v>
      </c>
    </row>
    <row r="100" spans="1:9" s="13" customFormat="1" ht="27.95" customHeight="1" thickBot="1" x14ac:dyDescent="0.3">
      <c r="A100" s="53" t="s">
        <v>82</v>
      </c>
      <c r="B100" s="16" t="s">
        <v>130</v>
      </c>
      <c r="C100" s="399"/>
      <c r="D100" s="400"/>
      <c r="E100" s="35"/>
      <c r="F100" s="184"/>
      <c r="G100" s="184"/>
      <c r="H100" s="204"/>
      <c r="I100" s="184"/>
    </row>
    <row r="101" spans="1:9" s="13" customFormat="1" ht="41.1" customHeight="1" thickBot="1" x14ac:dyDescent="0.3">
      <c r="A101" s="53" t="s">
        <v>83</v>
      </c>
      <c r="B101" s="23" t="s">
        <v>146</v>
      </c>
      <c r="C101" s="399"/>
      <c r="D101" s="400"/>
      <c r="E101" s="35"/>
      <c r="F101" s="184" t="s">
        <v>346</v>
      </c>
      <c r="G101" s="184" t="s">
        <v>346</v>
      </c>
      <c r="H101" s="204"/>
      <c r="I101" s="184" t="s">
        <v>346</v>
      </c>
    </row>
    <row r="102" spans="1:9" s="13" customFormat="1" ht="27.95" customHeight="1" thickBot="1" x14ac:dyDescent="0.3">
      <c r="A102" s="50" t="s">
        <v>34</v>
      </c>
      <c r="B102" s="30" t="s">
        <v>107</v>
      </c>
      <c r="C102" s="380" t="s">
        <v>30</v>
      </c>
      <c r="D102" s="381"/>
      <c r="E102" s="34"/>
      <c r="F102" s="184" t="s">
        <v>347</v>
      </c>
      <c r="G102" s="184" t="s">
        <v>347</v>
      </c>
      <c r="H102" s="204"/>
      <c r="I102" s="184" t="s">
        <v>347</v>
      </c>
    </row>
    <row r="103" spans="1:9" s="13" customFormat="1" ht="53.45" customHeight="1" thickBot="1" x14ac:dyDescent="0.3">
      <c r="A103" s="50" t="s">
        <v>35</v>
      </c>
      <c r="B103" s="30" t="s">
        <v>97</v>
      </c>
      <c r="C103" s="368"/>
      <c r="D103" s="369"/>
      <c r="E103" s="35"/>
      <c r="F103" s="183" t="s">
        <v>348</v>
      </c>
      <c r="G103" s="183" t="s">
        <v>348</v>
      </c>
      <c r="H103" s="204"/>
      <c r="I103" s="183" t="s">
        <v>348</v>
      </c>
    </row>
    <row r="104" spans="1:9" s="13" customFormat="1" ht="30.6" customHeight="1" thickBot="1" x14ac:dyDescent="0.3">
      <c r="A104" s="50" t="s">
        <v>36</v>
      </c>
      <c r="B104" s="30" t="s">
        <v>84</v>
      </c>
      <c r="C104" s="380" t="s">
        <v>99</v>
      </c>
      <c r="D104" s="381"/>
      <c r="E104" s="34"/>
      <c r="F104" s="184" t="s">
        <v>378</v>
      </c>
      <c r="G104" s="184" t="s">
        <v>378</v>
      </c>
      <c r="H104" s="204"/>
      <c r="I104" s="184" t="s">
        <v>349</v>
      </c>
    </row>
    <row r="105" spans="1:9" s="13" customFormat="1" ht="12.75" customHeight="1" x14ac:dyDescent="0.25">
      <c r="A105" s="354" t="s">
        <v>60</v>
      </c>
      <c r="B105" s="356" t="s">
        <v>133</v>
      </c>
      <c r="C105" s="358" t="s">
        <v>176</v>
      </c>
      <c r="D105" s="359"/>
      <c r="E105" s="34"/>
      <c r="F105" s="183" t="s">
        <v>379</v>
      </c>
      <c r="G105" s="183" t="s">
        <v>379</v>
      </c>
      <c r="H105" s="204"/>
      <c r="I105" s="183" t="s">
        <v>379</v>
      </c>
    </row>
    <row r="106" spans="1:9" s="13" customFormat="1" ht="12.75" customHeight="1" x14ac:dyDescent="0.25">
      <c r="A106" s="362"/>
      <c r="B106" s="363"/>
      <c r="C106" s="364" t="s">
        <v>177</v>
      </c>
      <c r="D106" s="365"/>
      <c r="E106" s="34"/>
      <c r="F106" s="169">
        <v>2470</v>
      </c>
      <c r="G106" s="169">
        <v>2470</v>
      </c>
      <c r="H106" s="204"/>
      <c r="I106" s="169">
        <v>2470</v>
      </c>
    </row>
    <row r="107" spans="1:9" s="13" customFormat="1" ht="12.75" customHeight="1" x14ac:dyDescent="0.25">
      <c r="A107" s="362"/>
      <c r="B107" s="363"/>
      <c r="C107" s="364" t="s">
        <v>114</v>
      </c>
      <c r="D107" s="365"/>
      <c r="E107" s="34"/>
      <c r="F107" s="169" t="s">
        <v>380</v>
      </c>
      <c r="G107" s="169" t="s">
        <v>380</v>
      </c>
      <c r="H107" s="204"/>
      <c r="I107" s="169" t="s">
        <v>380</v>
      </c>
    </row>
    <row r="108" spans="1:9" s="13" customFormat="1" ht="30.75" customHeight="1" thickBot="1" x14ac:dyDescent="0.3">
      <c r="A108" s="355"/>
      <c r="B108" s="357"/>
      <c r="C108" s="352" t="s">
        <v>115</v>
      </c>
      <c r="D108" s="353"/>
      <c r="E108" s="34"/>
      <c r="F108" s="174" t="s">
        <v>381</v>
      </c>
      <c r="G108" s="174" t="s">
        <v>381</v>
      </c>
      <c r="H108" s="204"/>
      <c r="I108" s="174" t="s">
        <v>381</v>
      </c>
    </row>
    <row r="109" spans="1:9" s="13" customFormat="1" ht="12.75" customHeight="1" x14ac:dyDescent="0.25">
      <c r="A109" s="354" t="s">
        <v>61</v>
      </c>
      <c r="B109" s="356" t="s">
        <v>134</v>
      </c>
      <c r="C109" s="358" t="s">
        <v>174</v>
      </c>
      <c r="D109" s="359"/>
      <c r="E109" s="34"/>
      <c r="F109" s="183"/>
      <c r="G109" s="183"/>
      <c r="H109" s="204"/>
      <c r="I109" s="183"/>
    </row>
    <row r="110" spans="1:9" s="13" customFormat="1" ht="12.75" customHeight="1" x14ac:dyDescent="0.25">
      <c r="A110" s="362"/>
      <c r="B110" s="363"/>
      <c r="C110" s="364" t="s">
        <v>175</v>
      </c>
      <c r="D110" s="365"/>
      <c r="E110" s="34"/>
      <c r="F110" s="185"/>
      <c r="G110" s="185"/>
      <c r="H110" s="204"/>
      <c r="I110" s="185"/>
    </row>
    <row r="111" spans="1:9" s="13" customFormat="1" ht="12.75" customHeight="1" x14ac:dyDescent="0.25">
      <c r="A111" s="362"/>
      <c r="B111" s="363"/>
      <c r="C111" s="364" t="s">
        <v>176</v>
      </c>
      <c r="D111" s="365"/>
      <c r="E111" s="34"/>
      <c r="F111" s="185"/>
      <c r="G111" s="185"/>
      <c r="H111" s="204"/>
      <c r="I111" s="185"/>
    </row>
    <row r="112" spans="1:9" s="13" customFormat="1" ht="12.75" customHeight="1" x14ac:dyDescent="0.25">
      <c r="A112" s="362"/>
      <c r="B112" s="363"/>
      <c r="C112" s="364" t="s">
        <v>177</v>
      </c>
      <c r="D112" s="365"/>
      <c r="E112" s="34"/>
      <c r="F112" s="169"/>
      <c r="G112" s="169"/>
      <c r="H112" s="204"/>
      <c r="I112" s="169"/>
    </row>
    <row r="113" spans="1:9" s="13" customFormat="1" ht="12.75" customHeight="1" x14ac:dyDescent="0.25">
      <c r="A113" s="362"/>
      <c r="B113" s="363"/>
      <c r="C113" s="364" t="s">
        <v>112</v>
      </c>
      <c r="D113" s="365"/>
      <c r="E113" s="34"/>
      <c r="F113" s="169"/>
      <c r="G113" s="169"/>
      <c r="H113" s="204"/>
      <c r="I113" s="169"/>
    </row>
    <row r="114" spans="1:9" s="13" customFormat="1" ht="12.75" customHeight="1" x14ac:dyDescent="0.25">
      <c r="A114" s="362"/>
      <c r="B114" s="363"/>
      <c r="C114" s="364" t="s">
        <v>113</v>
      </c>
      <c r="D114" s="365"/>
      <c r="E114" s="34"/>
      <c r="F114" s="185"/>
      <c r="G114" s="185"/>
      <c r="H114" s="204"/>
      <c r="I114" s="185"/>
    </row>
    <row r="115" spans="1:9" s="13" customFormat="1" ht="12.75" customHeight="1" x14ac:dyDescent="0.25">
      <c r="A115" s="362"/>
      <c r="B115" s="363"/>
      <c r="C115" s="364" t="s">
        <v>114</v>
      </c>
      <c r="D115" s="365"/>
      <c r="E115" s="34"/>
      <c r="F115" s="185"/>
      <c r="G115" s="185"/>
      <c r="H115" s="204"/>
      <c r="I115" s="185"/>
    </row>
    <row r="116" spans="1:9" s="13" customFormat="1" ht="15.95" customHeight="1" thickBot="1" x14ac:dyDescent="0.3">
      <c r="A116" s="355"/>
      <c r="B116" s="357"/>
      <c r="C116" s="352" t="s">
        <v>115</v>
      </c>
      <c r="D116" s="353"/>
      <c r="E116" s="34"/>
      <c r="F116" s="174"/>
      <c r="G116" s="174"/>
      <c r="H116" s="204"/>
      <c r="I116" s="174"/>
    </row>
    <row r="117" spans="1:9" s="13" customFormat="1" ht="145.5" customHeight="1" thickBot="1" x14ac:dyDescent="0.3">
      <c r="A117" s="54" t="s">
        <v>86</v>
      </c>
      <c r="B117" s="18" t="s">
        <v>143</v>
      </c>
      <c r="C117" s="380" t="s">
        <v>104</v>
      </c>
      <c r="D117" s="381"/>
      <c r="E117" s="34"/>
      <c r="F117" s="183" t="s">
        <v>353</v>
      </c>
      <c r="G117" s="183" t="s">
        <v>353</v>
      </c>
      <c r="H117" s="204"/>
      <c r="I117" s="183" t="s">
        <v>353</v>
      </c>
    </row>
    <row r="118" spans="1:9" ht="168.6" customHeight="1" thickBot="1" x14ac:dyDescent="0.25">
      <c r="A118" s="50" t="s">
        <v>85</v>
      </c>
      <c r="B118" s="14" t="s">
        <v>170</v>
      </c>
      <c r="C118" s="380" t="s">
        <v>104</v>
      </c>
      <c r="D118" s="381"/>
      <c r="E118" s="34"/>
      <c r="F118" s="184" t="s">
        <v>360</v>
      </c>
      <c r="G118" s="184" t="s">
        <v>360</v>
      </c>
      <c r="H118" s="210"/>
      <c r="I118" s="184" t="s">
        <v>360</v>
      </c>
    </row>
    <row r="119" spans="1:9" x14ac:dyDescent="0.2">
      <c r="A119" s="354" t="s">
        <v>13</v>
      </c>
      <c r="B119" s="356" t="s">
        <v>98</v>
      </c>
      <c r="C119" s="358" t="s">
        <v>30</v>
      </c>
      <c r="D119" s="359"/>
      <c r="E119" s="34"/>
      <c r="F119" s="183" t="s">
        <v>354</v>
      </c>
      <c r="G119" s="183" t="s">
        <v>354</v>
      </c>
      <c r="H119" s="210"/>
      <c r="I119" s="183" t="s">
        <v>354</v>
      </c>
    </row>
    <row r="120" spans="1:9" ht="30.95" customHeight="1" thickBot="1" x14ac:dyDescent="0.25">
      <c r="A120" s="355"/>
      <c r="B120" s="357"/>
      <c r="C120" s="352" t="s">
        <v>109</v>
      </c>
      <c r="D120" s="353"/>
      <c r="E120" s="34"/>
      <c r="F120" s="174" t="s">
        <v>355</v>
      </c>
      <c r="G120" s="174" t="s">
        <v>355</v>
      </c>
      <c r="H120" s="210"/>
      <c r="I120" s="174" t="s">
        <v>355</v>
      </c>
    </row>
    <row r="121" spans="1:9" ht="66.95" customHeight="1" thickBot="1" x14ac:dyDescent="0.25">
      <c r="A121" s="50" t="s">
        <v>37</v>
      </c>
      <c r="B121" s="30" t="s">
        <v>135</v>
      </c>
      <c r="C121" s="368"/>
      <c r="D121" s="369"/>
      <c r="E121" s="35"/>
      <c r="F121" s="184" t="s">
        <v>382</v>
      </c>
      <c r="G121" s="184" t="s">
        <v>382</v>
      </c>
      <c r="H121" s="210"/>
      <c r="I121" s="184" t="s">
        <v>382</v>
      </c>
    </row>
    <row r="122" spans="1:9" ht="41.1" customHeight="1" thickBot="1" x14ac:dyDescent="0.25">
      <c r="A122" s="50" t="s">
        <v>38</v>
      </c>
      <c r="B122" s="30" t="s">
        <v>87</v>
      </c>
      <c r="C122" s="368"/>
      <c r="D122" s="369"/>
      <c r="E122" s="35"/>
      <c r="F122" s="184" t="s">
        <v>348</v>
      </c>
      <c r="G122" s="184" t="s">
        <v>348</v>
      </c>
      <c r="H122" s="210"/>
      <c r="I122" s="184" t="s">
        <v>348</v>
      </c>
    </row>
    <row r="123" spans="1:9" ht="26.25" thickBot="1" x14ac:dyDescent="0.25">
      <c r="A123" s="50" t="s">
        <v>39</v>
      </c>
      <c r="B123" s="30" t="s">
        <v>106</v>
      </c>
      <c r="C123" s="380" t="s">
        <v>105</v>
      </c>
      <c r="D123" s="381"/>
      <c r="E123" s="34"/>
      <c r="F123" s="184" t="s">
        <v>184</v>
      </c>
      <c r="G123" s="184" t="s">
        <v>184</v>
      </c>
      <c r="H123" s="210"/>
      <c r="I123" s="184" t="s">
        <v>184</v>
      </c>
    </row>
    <row r="124" spans="1:9" ht="40.5" customHeight="1" thickBot="1" x14ac:dyDescent="0.25">
      <c r="A124" s="50" t="s">
        <v>90</v>
      </c>
      <c r="B124" s="30" t="s">
        <v>129</v>
      </c>
      <c r="C124" s="368"/>
      <c r="D124" s="369"/>
      <c r="E124" s="35"/>
      <c r="F124" s="184" t="s">
        <v>357</v>
      </c>
      <c r="G124" s="184" t="s">
        <v>357</v>
      </c>
      <c r="H124" s="210"/>
      <c r="I124" s="184" t="s">
        <v>357</v>
      </c>
    </row>
    <row r="125" spans="1:9" x14ac:dyDescent="0.2">
      <c r="A125" s="354" t="s">
        <v>88</v>
      </c>
      <c r="B125" s="356" t="s">
        <v>148</v>
      </c>
      <c r="C125" s="358" t="s">
        <v>100</v>
      </c>
      <c r="D125" s="359"/>
      <c r="E125" s="34"/>
      <c r="F125" s="183" t="s">
        <v>181</v>
      </c>
      <c r="G125" s="183" t="s">
        <v>181</v>
      </c>
      <c r="H125" s="210"/>
      <c r="I125" s="183" t="s">
        <v>181</v>
      </c>
    </row>
    <row r="126" spans="1:9" ht="105" customHeight="1" thickBot="1" x14ac:dyDescent="0.25">
      <c r="A126" s="355"/>
      <c r="B126" s="357"/>
      <c r="C126" s="352" t="s">
        <v>110</v>
      </c>
      <c r="D126" s="353"/>
      <c r="E126" s="34"/>
      <c r="F126" s="201"/>
      <c r="G126" s="201"/>
      <c r="H126" s="210"/>
      <c r="I126" s="201"/>
    </row>
    <row r="127" spans="1:9" ht="26.25" thickBot="1" x14ac:dyDescent="0.25">
      <c r="A127" s="50" t="s">
        <v>40</v>
      </c>
      <c r="B127" s="30" t="s">
        <v>137</v>
      </c>
      <c r="C127" s="380" t="s">
        <v>100</v>
      </c>
      <c r="D127" s="381"/>
      <c r="E127" s="34"/>
      <c r="F127" s="174" t="s">
        <v>358</v>
      </c>
      <c r="G127" s="174" t="s">
        <v>358</v>
      </c>
      <c r="H127" s="210"/>
      <c r="I127" s="174" t="s">
        <v>358</v>
      </c>
    </row>
    <row r="128" spans="1:9" ht="54" customHeight="1" thickBot="1" x14ac:dyDescent="0.25">
      <c r="A128" s="50" t="s">
        <v>14</v>
      </c>
      <c r="B128" s="30" t="s">
        <v>138</v>
      </c>
      <c r="C128" s="380" t="s">
        <v>139</v>
      </c>
      <c r="D128" s="381"/>
      <c r="E128" s="34"/>
      <c r="F128" s="184">
        <v>2</v>
      </c>
      <c r="G128" s="184">
        <v>2</v>
      </c>
      <c r="H128" s="210"/>
      <c r="I128" s="184">
        <v>2</v>
      </c>
    </row>
    <row r="129" spans="1:9" ht="66.95" customHeight="1" thickBot="1" x14ac:dyDescent="0.25">
      <c r="A129" s="50" t="s">
        <v>91</v>
      </c>
      <c r="B129" s="30" t="s">
        <v>144</v>
      </c>
      <c r="C129" s="380" t="s">
        <v>100</v>
      </c>
      <c r="D129" s="381"/>
      <c r="E129" s="34"/>
      <c r="F129" s="184" t="s">
        <v>359</v>
      </c>
      <c r="G129" s="184" t="s">
        <v>359</v>
      </c>
      <c r="H129" s="210"/>
      <c r="I129" s="184" t="s">
        <v>359</v>
      </c>
    </row>
    <row r="130" spans="1:9" ht="65.45" customHeight="1" thickBot="1" x14ac:dyDescent="0.25">
      <c r="A130" s="50" t="s">
        <v>92</v>
      </c>
      <c r="B130" s="30" t="s">
        <v>145</v>
      </c>
      <c r="C130" s="368"/>
      <c r="D130" s="369"/>
      <c r="E130" s="35"/>
      <c r="F130" s="184"/>
      <c r="G130" s="184"/>
      <c r="H130" s="210"/>
      <c r="I130" s="184"/>
    </row>
  </sheetData>
  <sheetProtection algorithmName="SHA-512" hashValue="oGm94LLfkDb6JIB4fLYr5FpMQeCOwlHsAuwcioF2VB9vNOAtAKxMtKXd0Hv3eUdfSPski1zAqh4LFiuUpcfKBw==" saltValue="rEc+yXsRIV4sfwOBKlNIHg==" spinCount="100000" sheet="1" objects="1" scenarios="1"/>
  <dataConsolidate/>
  <mergeCells count="150">
    <mergeCell ref="B23:D23"/>
    <mergeCell ref="A25:D25"/>
    <mergeCell ref="C27:D27"/>
    <mergeCell ref="A28:A29"/>
    <mergeCell ref="B28:B29"/>
    <mergeCell ref="C28:D28"/>
    <mergeCell ref="C29:D29"/>
    <mergeCell ref="C30:D30"/>
    <mergeCell ref="A3:D3"/>
    <mergeCell ref="A4:D4"/>
    <mergeCell ref="A6:D6"/>
    <mergeCell ref="A19:D19"/>
    <mergeCell ref="B12:D12"/>
    <mergeCell ref="B13:D13"/>
    <mergeCell ref="B14:D14"/>
    <mergeCell ref="B15:D15"/>
    <mergeCell ref="B16:D16"/>
    <mergeCell ref="B8:D8"/>
    <mergeCell ref="B9:D9"/>
    <mergeCell ref="B10:D10"/>
    <mergeCell ref="B11:D11"/>
    <mergeCell ref="C26:D26"/>
    <mergeCell ref="B17:D17"/>
    <mergeCell ref="B21:D21"/>
    <mergeCell ref="B22:D22"/>
    <mergeCell ref="A49:A51"/>
    <mergeCell ref="B49:B51"/>
    <mergeCell ref="C49:D49"/>
    <mergeCell ref="C50:D50"/>
    <mergeCell ref="C51:D51"/>
    <mergeCell ref="A31:A35"/>
    <mergeCell ref="B31:B35"/>
    <mergeCell ref="C31:D31"/>
    <mergeCell ref="C32:D32"/>
    <mergeCell ref="C33:D33"/>
    <mergeCell ref="C34:D34"/>
    <mergeCell ref="C35:D35"/>
    <mergeCell ref="A36:A37"/>
    <mergeCell ref="B36:B37"/>
    <mergeCell ref="C36:D36"/>
    <mergeCell ref="C37:D37"/>
    <mergeCell ref="A38:A39"/>
    <mergeCell ref="B38:B39"/>
    <mergeCell ref="C38:D38"/>
    <mergeCell ref="C39:D39"/>
    <mergeCell ref="C40:D40"/>
    <mergeCell ref="A41:A48"/>
    <mergeCell ref="B41:B48"/>
    <mergeCell ref="C41:D41"/>
    <mergeCell ref="C42:D42"/>
    <mergeCell ref="C43:D43"/>
    <mergeCell ref="C44:D44"/>
    <mergeCell ref="C45:D45"/>
    <mergeCell ref="C46:D46"/>
    <mergeCell ref="C47:D47"/>
    <mergeCell ref="C48:D48"/>
    <mergeCell ref="C64:D64"/>
    <mergeCell ref="C65:D65"/>
    <mergeCell ref="C66:D66"/>
    <mergeCell ref="C67:D67"/>
    <mergeCell ref="C68:D68"/>
    <mergeCell ref="C52:D52"/>
    <mergeCell ref="A53:A54"/>
    <mergeCell ref="B53:B54"/>
    <mergeCell ref="C53:D53"/>
    <mergeCell ref="C54:D54"/>
    <mergeCell ref="A55:A57"/>
    <mergeCell ref="B55:B57"/>
    <mergeCell ref="C55:D55"/>
    <mergeCell ref="C56:D56"/>
    <mergeCell ref="C57:D57"/>
    <mergeCell ref="C58:D58"/>
    <mergeCell ref="C59:D59"/>
    <mergeCell ref="C60:D60"/>
    <mergeCell ref="C61:D61"/>
    <mergeCell ref="C62:D62"/>
    <mergeCell ref="C63:D63"/>
    <mergeCell ref="A79:D79"/>
    <mergeCell ref="A92:D92"/>
    <mergeCell ref="C69:D69"/>
    <mergeCell ref="A80:D80"/>
    <mergeCell ref="A81:D81"/>
    <mergeCell ref="A82:D82"/>
    <mergeCell ref="A83:D83"/>
    <mergeCell ref="A84:D84"/>
    <mergeCell ref="C70:D70"/>
    <mergeCell ref="C71:D71"/>
    <mergeCell ref="C72:D72"/>
    <mergeCell ref="C73:D73"/>
    <mergeCell ref="A75:D75"/>
    <mergeCell ref="A105:A108"/>
    <mergeCell ref="B105:B108"/>
    <mergeCell ref="C105:D105"/>
    <mergeCell ref="C106:D106"/>
    <mergeCell ref="C107:D107"/>
    <mergeCell ref="C108:D108"/>
    <mergeCell ref="A109:A116"/>
    <mergeCell ref="B109:B116"/>
    <mergeCell ref="C109:D109"/>
    <mergeCell ref="C110:D110"/>
    <mergeCell ref="C111:D111"/>
    <mergeCell ref="C112:D112"/>
    <mergeCell ref="A119:A120"/>
    <mergeCell ref="B119:B120"/>
    <mergeCell ref="C119:D119"/>
    <mergeCell ref="C120:D120"/>
    <mergeCell ref="A125:A126"/>
    <mergeCell ref="B125:B126"/>
    <mergeCell ref="C125:D125"/>
    <mergeCell ref="C126:D126"/>
    <mergeCell ref="C127:D127"/>
    <mergeCell ref="C117:D117"/>
    <mergeCell ref="C118:D118"/>
    <mergeCell ref="C113:D113"/>
    <mergeCell ref="C114:D114"/>
    <mergeCell ref="C115:D115"/>
    <mergeCell ref="C116:D116"/>
    <mergeCell ref="C103:D103"/>
    <mergeCell ref="C104:D104"/>
    <mergeCell ref="C130:D130"/>
    <mergeCell ref="C121:D121"/>
    <mergeCell ref="C122:D122"/>
    <mergeCell ref="C123:D123"/>
    <mergeCell ref="C124:D124"/>
    <mergeCell ref="C128:D128"/>
    <mergeCell ref="C129:D129"/>
    <mergeCell ref="F6:G6"/>
    <mergeCell ref="F19:G19"/>
    <mergeCell ref="F25:G25"/>
    <mergeCell ref="F75:G75"/>
    <mergeCell ref="F98:G98"/>
    <mergeCell ref="C99:D99"/>
    <mergeCell ref="C100:D100"/>
    <mergeCell ref="C101:D101"/>
    <mergeCell ref="C102:D102"/>
    <mergeCell ref="A93:D93"/>
    <mergeCell ref="A94:D94"/>
    <mergeCell ref="A98:D98"/>
    <mergeCell ref="A86:D86"/>
    <mergeCell ref="A87:D87"/>
    <mergeCell ref="A88:D88"/>
    <mergeCell ref="A89:D89"/>
    <mergeCell ref="A90:D90"/>
    <mergeCell ref="A91:D91"/>
    <mergeCell ref="A96:D96"/>
    <mergeCell ref="A95:D95"/>
    <mergeCell ref="A85:D85"/>
    <mergeCell ref="A76:D76"/>
    <mergeCell ref="A77:D77"/>
    <mergeCell ref="A78:D78"/>
  </mergeCells>
  <conditionalFormatting sqref="C52 C60">
    <cfRule type="expression" dxfId="273" priority="103">
      <formula>#REF!="NO"</formula>
    </cfRule>
  </conditionalFormatting>
  <conditionalFormatting sqref="C100:G130">
    <cfRule type="expression" dxfId="272" priority="53">
      <formula>#REF!="NO"</formula>
    </cfRule>
  </conditionalFormatting>
  <conditionalFormatting sqref="C27:J73">
    <cfRule type="expression" dxfId="271" priority="13">
      <formula>#REF!="NO"</formula>
    </cfRule>
  </conditionalFormatting>
  <conditionalFormatting sqref="E77:G96">
    <cfRule type="expression" dxfId="270" priority="6">
      <formula>#REF!="NO"</formula>
    </cfRule>
  </conditionalFormatting>
  <conditionalFormatting sqref="F8:G17">
    <cfRule type="expression" dxfId="269" priority="98">
      <formula>#REF!="NO"</formula>
    </cfRule>
  </conditionalFormatting>
  <conditionalFormatting sqref="F21:G23">
    <cfRule type="expression" dxfId="268" priority="76">
      <formula>#REF!="NO"</formula>
    </cfRule>
  </conditionalFormatting>
  <conditionalFormatting sqref="G8:G9">
    <cfRule type="expression" dxfId="267" priority="75">
      <formula>#REF!="NO"</formula>
    </cfRule>
  </conditionalFormatting>
  <conditionalFormatting sqref="G13:G17 F22">
    <cfRule type="expression" dxfId="266" priority="80">
      <formula>#REF!="NO"</formula>
    </cfRule>
  </conditionalFormatting>
  <conditionalFormatting sqref="I8:I17">
    <cfRule type="expression" dxfId="265" priority="32">
      <formula>#REF!="NO"</formula>
    </cfRule>
  </conditionalFormatting>
  <conditionalFormatting sqref="I21:I23">
    <cfRule type="expression" dxfId="264" priority="33">
      <formula>#REF!="NO"</formula>
    </cfRule>
  </conditionalFormatting>
  <conditionalFormatting sqref="I77:I96">
    <cfRule type="expression" dxfId="263" priority="1">
      <formula>#REF!="NO"</formula>
    </cfRule>
  </conditionalFormatting>
  <conditionalFormatting sqref="I100:I130">
    <cfRule type="expression" dxfId="262" priority="11">
      <formula>#REF!="NO"</formula>
    </cfRule>
  </conditionalFormatting>
  <dataValidations count="3">
    <dataValidation type="decimal" operator="greaterThanOrEqual" allowBlank="1" showInputMessage="1" showErrorMessage="1" error="The Pickup Allowance cannot be a negative number." sqref="F16:G16 I16" xr:uid="{00000000-0002-0000-0500-000002000000}">
      <formula1>0</formula1>
    </dataValidation>
    <dataValidation type="decimal" allowBlank="1" showInputMessage="1" showErrorMessage="1" error="Invalid Entry - Bidder must enter a value that is greater than $0" sqref="F21:G21 I21" xr:uid="{00000000-0002-0000-0500-000001000000}">
      <formula1>0</formula1>
      <formula2>9E+21</formula2>
    </dataValidation>
    <dataValidation type="decimal" allowBlank="1" showInputMessage="1" showErrorMessage="1" error="The Additional Options NYS Discount entered must be greater than 0%, or less than or equal to 100%." sqref="F23:G23 I23" xr:uid="{00000000-0002-0000-0500-000000000000}">
      <formula1>0.01</formula1>
      <formula2>100</formula2>
    </dataValidation>
  </dataValidations>
  <pageMargins left="0.25" right="0.25" top="0.5" bottom="0.25" header="0.3" footer="0.3"/>
  <pageSetup scale="71" fitToHeight="0" orientation="landscape" r:id="rId1"/>
  <rowBreaks count="4" manualBreakCount="4">
    <brk id="27" max="9" man="1"/>
    <brk id="54" max="8" man="1"/>
    <brk id="73" max="8" man="1"/>
    <brk id="108"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C34E2-8A21-4299-ABEA-4B9BFC78FB4F}">
  <sheetPr>
    <tabColor rgb="FFCC66FF"/>
    <pageSetUpPr autoPageBreaks="0" fitToPage="1"/>
  </sheetPr>
  <dimension ref="A1:G12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customFormat="1" ht="15" x14ac:dyDescent="0.25">
      <c r="A1" s="165" t="str">
        <f>'A (Item 2-G)'!$A$1</f>
        <v>GROUP 40524-23254, SCHOOL BUSES (Statewide)                                                             Attachment 1 - Specifications and Pricing (Revised October 15, 2026)</v>
      </c>
      <c r="B1" s="2"/>
      <c r="C1" s="2"/>
      <c r="D1" s="2"/>
      <c r="E1" s="2"/>
      <c r="F1" s="210"/>
    </row>
    <row r="2" spans="1:7" customFormat="1" ht="15.75" thickBot="1" x14ac:dyDescent="0.3">
      <c r="A2" s="316" t="str">
        <f>'Attachment 1 - Summary'!B2</f>
        <v>PC69864 New York Bus Sales, LLC</v>
      </c>
      <c r="B2" s="26"/>
      <c r="C2" s="26"/>
      <c r="D2" s="26"/>
      <c r="F2" s="287"/>
    </row>
    <row r="3" spans="1:7" ht="24" thickBot="1" x14ac:dyDescent="0.25">
      <c r="A3" s="340" t="s">
        <v>413</v>
      </c>
      <c r="B3" s="341"/>
      <c r="C3" s="341"/>
      <c r="D3" s="342"/>
      <c r="E3" s="9"/>
      <c r="F3" s="312"/>
      <c r="G3" s="9"/>
    </row>
    <row r="4" spans="1:7" ht="47.25" customHeight="1" thickBot="1" x14ac:dyDescent="0.25">
      <c r="A4" s="343" t="s">
        <v>414</v>
      </c>
      <c r="B4" s="344"/>
      <c r="C4" s="344"/>
      <c r="D4" s="345"/>
      <c r="E4" s="9"/>
      <c r="F4" s="315"/>
      <c r="G4" s="9"/>
    </row>
    <row r="5" spans="1:7" s="4" customFormat="1" ht="11.25" customHeight="1" thickBot="1" x14ac:dyDescent="0.3">
      <c r="A5" s="57"/>
      <c r="B5" s="57"/>
      <c r="C5" s="57"/>
      <c r="D5" s="57"/>
      <c r="E5" s="57"/>
      <c r="F5" s="313"/>
    </row>
    <row r="6" spans="1:7" s="8" customFormat="1" ht="16.5" thickBot="1" x14ac:dyDescent="0.25">
      <c r="A6" s="346" t="s">
        <v>151</v>
      </c>
      <c r="B6" s="347"/>
      <c r="C6" s="347"/>
      <c r="D6" s="348"/>
      <c r="E6" s="36"/>
      <c r="F6" s="196" t="s">
        <v>395</v>
      </c>
      <c r="G6" s="36"/>
    </row>
    <row r="7" spans="1:7" s="4" customFormat="1" ht="15" customHeight="1" thickBot="1" x14ac:dyDescent="0.3">
      <c r="A7" s="41" t="s">
        <v>6</v>
      </c>
      <c r="B7" s="27" t="s">
        <v>165</v>
      </c>
      <c r="C7" s="32"/>
      <c r="D7" s="40"/>
      <c r="E7" s="37"/>
      <c r="F7" s="188" t="s">
        <v>184</v>
      </c>
      <c r="G7" s="37"/>
    </row>
    <row r="8" spans="1:7" ht="39.75" thickTop="1" thickBot="1" x14ac:dyDescent="0.25">
      <c r="A8" s="42" t="s">
        <v>185</v>
      </c>
      <c r="B8" s="337" t="s">
        <v>303</v>
      </c>
      <c r="C8" s="338"/>
      <c r="D8" s="339"/>
      <c r="E8" s="13"/>
      <c r="F8" s="167" t="s">
        <v>396</v>
      </c>
      <c r="G8" s="13"/>
    </row>
    <row r="9" spans="1:7" s="8" customFormat="1" ht="44.25" customHeight="1" thickTop="1" thickBot="1" x14ac:dyDescent="0.25">
      <c r="A9" s="42" t="s">
        <v>136</v>
      </c>
      <c r="B9" s="337" t="s">
        <v>191</v>
      </c>
      <c r="C9" s="338"/>
      <c r="D9" s="339"/>
      <c r="E9" s="13"/>
      <c r="F9" s="167" t="s">
        <v>412</v>
      </c>
      <c r="G9" s="13"/>
    </row>
    <row r="10" spans="1:7" ht="12.75" customHeight="1" thickTop="1" x14ac:dyDescent="0.2">
      <c r="A10" s="43" t="s">
        <v>0</v>
      </c>
      <c r="B10" s="328" t="s">
        <v>154</v>
      </c>
      <c r="C10" s="329"/>
      <c r="D10" s="330"/>
      <c r="E10" s="13"/>
      <c r="F10" s="169" t="s">
        <v>180</v>
      </c>
      <c r="G10" s="13"/>
    </row>
    <row r="11" spans="1:7" x14ac:dyDescent="0.2">
      <c r="A11" s="43" t="s">
        <v>1</v>
      </c>
      <c r="B11" s="328" t="s">
        <v>153</v>
      </c>
      <c r="C11" s="329"/>
      <c r="D11" s="330"/>
      <c r="E11" s="13"/>
      <c r="F11" s="169" t="s">
        <v>301</v>
      </c>
      <c r="G11" s="13"/>
    </row>
    <row r="12" spans="1:7" ht="13.5" customHeight="1" thickBot="1" x14ac:dyDescent="0.25">
      <c r="A12" s="44" t="s">
        <v>2</v>
      </c>
      <c r="B12" s="331" t="s">
        <v>155</v>
      </c>
      <c r="C12" s="332"/>
      <c r="D12" s="333"/>
      <c r="E12" s="13"/>
      <c r="F12" s="170" t="s">
        <v>364</v>
      </c>
      <c r="G12" s="13"/>
    </row>
    <row r="13" spans="1:7" ht="13.5" thickTop="1" x14ac:dyDescent="0.2">
      <c r="A13" s="43" t="s">
        <v>3</v>
      </c>
      <c r="B13" s="328" t="s">
        <v>157</v>
      </c>
      <c r="C13" s="329"/>
      <c r="D13" s="330"/>
      <c r="E13" s="13"/>
      <c r="F13" s="169" t="s">
        <v>331</v>
      </c>
      <c r="G13" s="13"/>
    </row>
    <row r="14" spans="1:7" x14ac:dyDescent="0.2">
      <c r="A14" s="43" t="s">
        <v>4</v>
      </c>
      <c r="B14" s="328" t="s">
        <v>156</v>
      </c>
      <c r="C14" s="329"/>
      <c r="D14" s="330"/>
      <c r="E14" s="13"/>
      <c r="F14" s="169" t="s">
        <v>365</v>
      </c>
      <c r="G14" s="13"/>
    </row>
    <row r="15" spans="1:7" ht="15.75" customHeight="1" thickBot="1" x14ac:dyDescent="0.25">
      <c r="A15" s="45" t="s">
        <v>5</v>
      </c>
      <c r="B15" s="331" t="s">
        <v>158</v>
      </c>
      <c r="C15" s="332"/>
      <c r="D15" s="333"/>
      <c r="E15" s="13"/>
      <c r="F15" s="172" t="s">
        <v>408</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399</v>
      </c>
      <c r="G17" s="13"/>
    </row>
    <row r="18" spans="1:7" s="10" customFormat="1" ht="14.25" thickTop="1" thickBot="1" x14ac:dyDescent="0.25">
      <c r="C18" s="11"/>
      <c r="D18" s="11"/>
      <c r="E18" s="11"/>
      <c r="F18" s="213"/>
      <c r="G18" s="11"/>
    </row>
    <row r="19" spans="1:7" s="12" customFormat="1" ht="16.5" thickBot="1" x14ac:dyDescent="0.25">
      <c r="A19" s="346" t="s">
        <v>150</v>
      </c>
      <c r="B19" s="347"/>
      <c r="C19" s="347"/>
      <c r="D19" s="348"/>
      <c r="E19" s="36"/>
      <c r="F19" s="196" t="s">
        <v>395</v>
      </c>
      <c r="G19" s="36"/>
    </row>
    <row r="20" spans="1:7" s="4" customFormat="1" ht="15" customHeight="1" thickBot="1" x14ac:dyDescent="0.3">
      <c r="A20" s="55" t="s">
        <v>6</v>
      </c>
      <c r="B20" s="31" t="s">
        <v>165</v>
      </c>
      <c r="C20" s="33"/>
      <c r="D20" s="48"/>
      <c r="E20" s="37"/>
      <c r="F20" s="188" t="s">
        <v>184</v>
      </c>
      <c r="G20" s="37"/>
    </row>
    <row r="21" spans="1:7" ht="56.25" customHeight="1" x14ac:dyDescent="0.2">
      <c r="A21" s="46" t="s">
        <v>42</v>
      </c>
      <c r="B21" s="349" t="s">
        <v>161</v>
      </c>
      <c r="C21" s="350"/>
      <c r="D21" s="351"/>
      <c r="E21" s="13"/>
      <c r="F21" s="214">
        <f>278500*('PPI Adj'!D6)</f>
        <v>325009.5</v>
      </c>
      <c r="G21" s="13"/>
    </row>
    <row r="22" spans="1:7" ht="42.75" customHeight="1" x14ac:dyDescent="0.2">
      <c r="A22" s="43" t="s">
        <v>20</v>
      </c>
      <c r="B22" s="328" t="s">
        <v>162</v>
      </c>
      <c r="C22" s="329"/>
      <c r="D22" s="330"/>
      <c r="E22" s="13"/>
      <c r="F22" s="198" t="s">
        <v>181</v>
      </c>
      <c r="G22" s="13"/>
    </row>
    <row r="23" spans="1:7" ht="33" customHeight="1" thickBot="1" x14ac:dyDescent="0.25">
      <c r="A23" s="47" t="s">
        <v>41</v>
      </c>
      <c r="B23" s="370" t="s">
        <v>163</v>
      </c>
      <c r="C23" s="371"/>
      <c r="D23" s="372"/>
      <c r="E23" s="1"/>
      <c r="F23" s="179">
        <v>12</v>
      </c>
      <c r="G23" s="1"/>
    </row>
    <row r="24" spans="1:7" ht="13.5" thickBot="1" x14ac:dyDescent="0.25">
      <c r="A24" s="58"/>
      <c r="B24" s="1"/>
      <c r="C24" s="1"/>
      <c r="D24" s="1"/>
      <c r="E24" s="1"/>
      <c r="F24" s="180"/>
      <c r="G24" s="1"/>
    </row>
    <row r="25" spans="1:7" s="8" customFormat="1" ht="16.5" thickBot="1" x14ac:dyDescent="0.25">
      <c r="A25" s="373" t="s">
        <v>164</v>
      </c>
      <c r="B25" s="374"/>
      <c r="C25" s="374"/>
      <c r="D25" s="375"/>
      <c r="E25" s="38"/>
      <c r="F25" s="196" t="s">
        <v>395</v>
      </c>
      <c r="G25" s="38"/>
    </row>
    <row r="26" spans="1:7" s="3" customFormat="1" ht="15" customHeight="1" thickBot="1" x14ac:dyDescent="0.3">
      <c r="A26" s="55" t="s">
        <v>6</v>
      </c>
      <c r="B26" s="56" t="s">
        <v>7</v>
      </c>
      <c r="C26" s="376" t="s">
        <v>165</v>
      </c>
      <c r="D26" s="377"/>
      <c r="E26" s="39"/>
      <c r="F26" s="188" t="s">
        <v>184</v>
      </c>
      <c r="G26" s="39"/>
    </row>
    <row r="27" spans="1:7" s="13" customFormat="1" ht="41.1" customHeight="1" thickBot="1" x14ac:dyDescent="0.3">
      <c r="A27" s="49" t="s">
        <v>8</v>
      </c>
      <c r="B27" s="29" t="s">
        <v>131</v>
      </c>
      <c r="C27" s="352" t="s">
        <v>118</v>
      </c>
      <c r="D27" s="353"/>
      <c r="E27" s="34"/>
      <c r="F27" s="184">
        <v>14500</v>
      </c>
      <c r="G27" s="34"/>
    </row>
    <row r="28" spans="1:7" s="13" customFormat="1" ht="13.5" thickBot="1" x14ac:dyDescent="0.3">
      <c r="A28" s="354" t="s">
        <v>21</v>
      </c>
      <c r="B28" s="356" t="s">
        <v>298</v>
      </c>
      <c r="C28" s="358" t="s">
        <v>67</v>
      </c>
      <c r="D28" s="359"/>
      <c r="E28" s="34"/>
      <c r="F28" s="183">
        <v>5</v>
      </c>
      <c r="G28" s="34"/>
    </row>
    <row r="29" spans="1:7" s="13" customFormat="1" ht="15.95" customHeight="1" thickBot="1" x14ac:dyDescent="0.3">
      <c r="A29" s="355"/>
      <c r="B29" s="357"/>
      <c r="C29" s="352" t="s">
        <v>68</v>
      </c>
      <c r="D29" s="353"/>
      <c r="E29" s="34"/>
      <c r="F29" s="184">
        <v>30</v>
      </c>
      <c r="G29" s="34"/>
    </row>
    <row r="30" spans="1:7" s="13" customFormat="1" ht="13.5" thickBot="1" x14ac:dyDescent="0.3">
      <c r="A30" s="50" t="s">
        <v>123</v>
      </c>
      <c r="B30" s="30" t="s">
        <v>108</v>
      </c>
      <c r="C30" s="368"/>
      <c r="D30" s="369"/>
      <c r="E30" s="35"/>
      <c r="F30" s="184" t="s">
        <v>367</v>
      </c>
      <c r="G30" s="35"/>
    </row>
    <row r="31" spans="1:7" s="13" customFormat="1" ht="12.75" customHeight="1" x14ac:dyDescent="0.25">
      <c r="A31" s="354" t="s">
        <v>59</v>
      </c>
      <c r="B31" s="356"/>
      <c r="C31" s="358" t="s">
        <v>58</v>
      </c>
      <c r="D31" s="359"/>
      <c r="E31" s="34"/>
      <c r="F31" s="183">
        <v>158</v>
      </c>
      <c r="G31" s="34"/>
    </row>
    <row r="32" spans="1:7" s="13" customFormat="1" ht="12.75" customHeight="1" x14ac:dyDescent="0.25">
      <c r="A32" s="362"/>
      <c r="B32" s="363"/>
      <c r="C32" s="364" t="s">
        <v>57</v>
      </c>
      <c r="D32" s="365"/>
      <c r="E32" s="34"/>
      <c r="F32" s="169">
        <v>283</v>
      </c>
      <c r="G32" s="34"/>
    </row>
    <row r="33" spans="1:7" s="13" customFormat="1" ht="12.75" customHeight="1" x14ac:dyDescent="0.25">
      <c r="A33" s="362"/>
      <c r="B33" s="363"/>
      <c r="C33" s="364" t="s">
        <v>69</v>
      </c>
      <c r="D33" s="365"/>
      <c r="E33" s="34"/>
      <c r="F33" s="169">
        <v>93</v>
      </c>
      <c r="G33" s="34"/>
    </row>
    <row r="34" spans="1:7" s="13" customFormat="1" ht="12.75" customHeight="1" x14ac:dyDescent="0.25">
      <c r="A34" s="362"/>
      <c r="B34" s="363"/>
      <c r="C34" s="364" t="s">
        <v>70</v>
      </c>
      <c r="D34" s="365"/>
      <c r="E34" s="34"/>
      <c r="F34" s="169">
        <v>76</v>
      </c>
      <c r="G34" s="34"/>
    </row>
    <row r="35" spans="1:7" s="13" customFormat="1" ht="14.1" customHeight="1" thickBot="1" x14ac:dyDescent="0.3">
      <c r="A35" s="355"/>
      <c r="B35" s="357"/>
      <c r="C35" s="360" t="s">
        <v>111</v>
      </c>
      <c r="D35" s="361"/>
      <c r="E35" s="34"/>
      <c r="F35" s="174">
        <v>100</v>
      </c>
      <c r="G35" s="34"/>
    </row>
    <row r="36" spans="1:7" s="13" customFormat="1" ht="15.6" customHeight="1" x14ac:dyDescent="0.25">
      <c r="A36" s="354" t="s">
        <v>11</v>
      </c>
      <c r="B36" s="356"/>
      <c r="C36" s="358" t="s">
        <v>24</v>
      </c>
      <c r="D36" s="359"/>
      <c r="E36" s="34"/>
      <c r="F36" s="183">
        <v>5000</v>
      </c>
      <c r="G36" s="34"/>
    </row>
    <row r="37" spans="1:7" s="13" customFormat="1" ht="15.6" customHeight="1" thickBot="1" x14ac:dyDescent="0.3">
      <c r="A37" s="355"/>
      <c r="B37" s="357"/>
      <c r="C37" s="360" t="s">
        <v>22</v>
      </c>
      <c r="D37" s="361"/>
      <c r="E37" s="34"/>
      <c r="F37" s="174">
        <v>5000</v>
      </c>
      <c r="G37" s="34"/>
    </row>
    <row r="38" spans="1:7" s="13" customFormat="1" ht="15.6" customHeight="1" x14ac:dyDescent="0.25">
      <c r="A38" s="354" t="s">
        <v>16</v>
      </c>
      <c r="B38" s="356"/>
      <c r="C38" s="358" t="s">
        <v>24</v>
      </c>
      <c r="D38" s="359"/>
      <c r="E38" s="34"/>
      <c r="F38" s="183">
        <v>9600</v>
      </c>
      <c r="G38" s="34"/>
    </row>
    <row r="39" spans="1:7" s="13" customFormat="1" ht="14.1" customHeight="1" thickBot="1" x14ac:dyDescent="0.3">
      <c r="A39" s="355"/>
      <c r="B39" s="357"/>
      <c r="C39" s="360" t="s">
        <v>23</v>
      </c>
      <c r="D39" s="361"/>
      <c r="E39" s="34"/>
      <c r="F39" s="174">
        <v>9600</v>
      </c>
      <c r="G39" s="34"/>
    </row>
    <row r="40" spans="1:7" s="13" customFormat="1" ht="18.600000000000001" customHeight="1" thickBot="1" x14ac:dyDescent="0.3">
      <c r="A40" s="50" t="s">
        <v>52</v>
      </c>
      <c r="B40" s="30" t="s">
        <v>53</v>
      </c>
      <c r="C40" s="368"/>
      <c r="D40" s="369"/>
      <c r="E40" s="35"/>
      <c r="F40" s="184"/>
      <c r="G40" s="35"/>
    </row>
    <row r="41" spans="1:7" s="13" customFormat="1" ht="13.5" customHeight="1" x14ac:dyDescent="0.25">
      <c r="A41" s="354" t="s">
        <v>12</v>
      </c>
      <c r="B41" s="356" t="s">
        <v>142</v>
      </c>
      <c r="C41" s="358" t="s">
        <v>174</v>
      </c>
      <c r="D41" s="359"/>
      <c r="E41" s="34"/>
      <c r="F41" s="183" t="s">
        <v>368</v>
      </c>
      <c r="G41" s="34"/>
    </row>
    <row r="42" spans="1:7" s="13" customFormat="1" ht="13.5" customHeight="1" x14ac:dyDescent="0.25">
      <c r="A42" s="362"/>
      <c r="B42" s="363"/>
      <c r="C42" s="364" t="s">
        <v>175</v>
      </c>
      <c r="D42" s="365"/>
      <c r="E42" s="34"/>
      <c r="F42" s="169">
        <v>2680</v>
      </c>
      <c r="G42" s="34"/>
    </row>
    <row r="43" spans="1:7" s="13" customFormat="1" ht="13.5" customHeight="1" x14ac:dyDescent="0.25">
      <c r="A43" s="362"/>
      <c r="B43" s="363"/>
      <c r="C43" s="364" t="s">
        <v>176</v>
      </c>
      <c r="D43" s="365"/>
      <c r="E43" s="34"/>
      <c r="F43" s="185" t="s">
        <v>369</v>
      </c>
      <c r="G43" s="34"/>
    </row>
    <row r="44" spans="1:7" s="13" customFormat="1" ht="13.5" customHeight="1" x14ac:dyDescent="0.25">
      <c r="A44" s="362"/>
      <c r="B44" s="363"/>
      <c r="C44" s="364" t="s">
        <v>177</v>
      </c>
      <c r="D44" s="365"/>
      <c r="E44" s="34"/>
      <c r="F44" s="169">
        <v>2470</v>
      </c>
      <c r="G44" s="34"/>
    </row>
    <row r="45" spans="1:7" s="13" customFormat="1" ht="13.5" customHeight="1" x14ac:dyDescent="0.25">
      <c r="A45" s="362"/>
      <c r="B45" s="363"/>
      <c r="C45" s="364" t="s">
        <v>112</v>
      </c>
      <c r="D45" s="365"/>
      <c r="E45" s="34"/>
      <c r="F45" s="169" t="s">
        <v>370</v>
      </c>
      <c r="G45" s="34"/>
    </row>
    <row r="46" spans="1:7" s="13" customFormat="1" ht="13.5" customHeight="1" x14ac:dyDescent="0.25">
      <c r="A46" s="362"/>
      <c r="B46" s="363"/>
      <c r="C46" s="364" t="s">
        <v>113</v>
      </c>
      <c r="D46" s="365"/>
      <c r="E46" s="34"/>
      <c r="F46" s="169" t="s">
        <v>371</v>
      </c>
      <c r="G46" s="34"/>
    </row>
    <row r="47" spans="1:7" s="13" customFormat="1" ht="13.5" customHeight="1" x14ac:dyDescent="0.25">
      <c r="A47" s="362"/>
      <c r="B47" s="363"/>
      <c r="C47" s="364" t="s">
        <v>114</v>
      </c>
      <c r="D47" s="365"/>
      <c r="E47" s="34"/>
      <c r="F47" s="169" t="s">
        <v>370</v>
      </c>
      <c r="G47" s="34"/>
    </row>
    <row r="48" spans="1:7" s="13" customFormat="1" ht="13.5" customHeight="1" thickBot="1" x14ac:dyDescent="0.3">
      <c r="A48" s="355"/>
      <c r="B48" s="357"/>
      <c r="C48" s="360" t="s">
        <v>115</v>
      </c>
      <c r="D48" s="361"/>
      <c r="E48" s="34"/>
      <c r="F48" s="174" t="s">
        <v>371</v>
      </c>
      <c r="G48" s="34"/>
    </row>
    <row r="49" spans="1:7" s="13" customFormat="1" ht="12.75" customHeight="1" x14ac:dyDescent="0.25">
      <c r="A49" s="354" t="s">
        <v>10</v>
      </c>
      <c r="B49" s="356" t="s">
        <v>62</v>
      </c>
      <c r="C49" s="358" t="s">
        <v>116</v>
      </c>
      <c r="D49" s="359"/>
      <c r="E49" s="34"/>
      <c r="F49" s="183">
        <v>2</v>
      </c>
      <c r="G49" s="34"/>
    </row>
    <row r="50" spans="1:7" s="13" customFormat="1" ht="12.75" customHeight="1" x14ac:dyDescent="0.25">
      <c r="A50" s="362"/>
      <c r="B50" s="363"/>
      <c r="C50" s="364" t="s">
        <v>117</v>
      </c>
      <c r="D50" s="365"/>
      <c r="E50" s="34"/>
      <c r="F50" s="169" t="s">
        <v>197</v>
      </c>
      <c r="G50" s="34"/>
    </row>
    <row r="51" spans="1:7" s="13" customFormat="1" ht="13.5" customHeight="1" thickBot="1" x14ac:dyDescent="0.3">
      <c r="A51" s="355"/>
      <c r="B51" s="357"/>
      <c r="C51" s="360" t="s">
        <v>71</v>
      </c>
      <c r="D51" s="361"/>
      <c r="E51" s="34"/>
      <c r="F51" s="171" t="s">
        <v>400</v>
      </c>
      <c r="G51" s="34"/>
    </row>
    <row r="52" spans="1:7" s="13" customFormat="1" ht="42.6" customHeight="1" thickBot="1" x14ac:dyDescent="0.3">
      <c r="A52" s="50" t="s">
        <v>185</v>
      </c>
      <c r="B52" s="28" t="s">
        <v>186</v>
      </c>
      <c r="C52" s="380" t="s">
        <v>187</v>
      </c>
      <c r="D52" s="381"/>
      <c r="E52" s="34"/>
      <c r="F52" s="183">
        <v>100</v>
      </c>
      <c r="G52" s="34"/>
    </row>
    <row r="53" spans="1:7" s="13" customFormat="1" ht="12.75" customHeight="1" x14ac:dyDescent="0.25">
      <c r="A53" s="354" t="s">
        <v>26</v>
      </c>
      <c r="B53" s="356"/>
      <c r="C53" s="358" t="s">
        <v>188</v>
      </c>
      <c r="D53" s="359"/>
      <c r="E53" s="34"/>
      <c r="F53" s="183">
        <v>2</v>
      </c>
      <c r="G53" s="34"/>
    </row>
    <row r="54" spans="1:7" s="13" customFormat="1" ht="12.75" customHeight="1" x14ac:dyDescent="0.25">
      <c r="A54" s="362"/>
      <c r="B54" s="363"/>
      <c r="C54" s="364" t="s">
        <v>189</v>
      </c>
      <c r="D54" s="365"/>
      <c r="E54" s="34"/>
      <c r="F54" s="169" t="s">
        <v>401</v>
      </c>
      <c r="G54" s="34"/>
    </row>
    <row r="55" spans="1:7" s="13" customFormat="1" ht="13.5" customHeight="1" thickBot="1" x14ac:dyDescent="0.3">
      <c r="A55" s="355"/>
      <c r="B55" s="357"/>
      <c r="C55" s="360" t="s">
        <v>190</v>
      </c>
      <c r="D55" s="361"/>
      <c r="E55" s="34"/>
      <c r="F55" s="174">
        <v>350</v>
      </c>
      <c r="G55" s="34"/>
    </row>
    <row r="56" spans="1:7" s="13" customFormat="1" ht="15.95" customHeight="1" thickBot="1" x14ac:dyDescent="0.3">
      <c r="A56" s="50" t="s">
        <v>44</v>
      </c>
      <c r="B56" s="30" t="s">
        <v>302</v>
      </c>
      <c r="C56" s="368"/>
      <c r="D56" s="369"/>
      <c r="E56" s="35"/>
      <c r="F56" s="186"/>
      <c r="G56" s="35"/>
    </row>
    <row r="57" spans="1:7" s="13" customFormat="1" ht="27" customHeight="1" thickBot="1" x14ac:dyDescent="0.3">
      <c r="A57" s="50" t="s">
        <v>44</v>
      </c>
      <c r="B57" s="30" t="s">
        <v>63</v>
      </c>
      <c r="C57" s="368"/>
      <c r="D57" s="369"/>
      <c r="E57" s="35"/>
      <c r="F57" s="186"/>
      <c r="G57" s="35"/>
    </row>
    <row r="58" spans="1:7" s="13" customFormat="1" ht="28.5" customHeight="1" thickBot="1" x14ac:dyDescent="0.3">
      <c r="A58" s="50" t="s">
        <v>44</v>
      </c>
      <c r="B58" s="30" t="s">
        <v>64</v>
      </c>
      <c r="C58" s="368"/>
      <c r="D58" s="369"/>
      <c r="E58" s="35"/>
      <c r="F58" s="186"/>
      <c r="G58" s="35"/>
    </row>
    <row r="59" spans="1:7" s="13" customFormat="1" ht="15.95" customHeight="1" thickBot="1" x14ac:dyDescent="0.3">
      <c r="A59" s="50" t="s">
        <v>50</v>
      </c>
      <c r="B59" s="30" t="s">
        <v>65</v>
      </c>
      <c r="C59" s="368"/>
      <c r="D59" s="369"/>
      <c r="E59" s="35"/>
      <c r="F59" s="186"/>
      <c r="G59" s="35"/>
    </row>
    <row r="60" spans="1:7" s="13" customFormat="1" ht="13.5" thickBot="1" x14ac:dyDescent="0.3">
      <c r="A60" s="50" t="s">
        <v>27</v>
      </c>
      <c r="B60" s="30"/>
      <c r="C60" s="380" t="s">
        <v>77</v>
      </c>
      <c r="D60" s="381"/>
      <c r="E60" s="34"/>
      <c r="F60" s="184" t="s">
        <v>376</v>
      </c>
      <c r="G60" s="34"/>
    </row>
    <row r="61" spans="1:7" s="13" customFormat="1" ht="42.6" customHeight="1" thickBot="1" x14ac:dyDescent="0.3">
      <c r="A61" s="50" t="s">
        <v>51</v>
      </c>
      <c r="B61" s="30" t="s">
        <v>79</v>
      </c>
      <c r="C61" s="368"/>
      <c r="D61" s="369"/>
      <c r="E61" s="35"/>
      <c r="F61" s="184"/>
      <c r="G61" s="35"/>
    </row>
    <row r="62" spans="1:7" s="13" customFormat="1" ht="40.5" customHeight="1" thickBot="1" x14ac:dyDescent="0.3">
      <c r="A62" s="50" t="s">
        <v>54</v>
      </c>
      <c r="B62" s="30" t="s">
        <v>80</v>
      </c>
      <c r="C62" s="368"/>
      <c r="D62" s="369"/>
      <c r="E62" s="35"/>
      <c r="F62" s="184"/>
      <c r="G62" s="35"/>
    </row>
    <row r="63" spans="1:7" s="13" customFormat="1" ht="79.5" customHeight="1" thickBot="1" x14ac:dyDescent="0.3">
      <c r="A63" s="50" t="s">
        <v>29</v>
      </c>
      <c r="B63" s="30" t="s">
        <v>132</v>
      </c>
      <c r="C63" s="368"/>
      <c r="D63" s="369"/>
      <c r="E63" s="35"/>
      <c r="F63" s="184"/>
      <c r="G63" s="35"/>
    </row>
    <row r="64" spans="1:7" s="13" customFormat="1" ht="39" thickBot="1" x14ac:dyDescent="0.3">
      <c r="A64" s="50" t="s">
        <v>31</v>
      </c>
      <c r="B64" s="30" t="s">
        <v>94</v>
      </c>
      <c r="C64" s="380" t="s">
        <v>30</v>
      </c>
      <c r="D64" s="381"/>
      <c r="E64" s="34"/>
      <c r="F64" s="184" t="s">
        <v>344</v>
      </c>
      <c r="G64" s="34"/>
    </row>
    <row r="65" spans="1:7" s="13" customFormat="1" ht="27" customHeight="1" thickBot="1" x14ac:dyDescent="0.3">
      <c r="A65" s="50" t="s">
        <v>55</v>
      </c>
      <c r="B65" s="30" t="s">
        <v>95</v>
      </c>
      <c r="C65" s="368"/>
      <c r="D65" s="369"/>
      <c r="E65" s="35"/>
      <c r="F65" s="184"/>
      <c r="G65" s="35"/>
    </row>
    <row r="66" spans="1:7" s="13" customFormat="1" ht="26.25" thickBot="1" x14ac:dyDescent="0.3">
      <c r="A66" s="50" t="s">
        <v>32</v>
      </c>
      <c r="B66" s="30" t="s">
        <v>96</v>
      </c>
      <c r="C66" s="380" t="s">
        <v>30</v>
      </c>
      <c r="D66" s="381"/>
      <c r="E66" s="34"/>
      <c r="F66" s="184" t="s">
        <v>345</v>
      </c>
      <c r="G66" s="34"/>
    </row>
    <row r="67" spans="1:7" s="13" customFormat="1" ht="41.1" customHeight="1" thickBot="1" x14ac:dyDescent="0.3">
      <c r="A67" s="50" t="s">
        <v>56</v>
      </c>
      <c r="B67" s="30" t="s">
        <v>167</v>
      </c>
      <c r="C67" s="368"/>
      <c r="D67" s="369"/>
      <c r="E67" s="35"/>
      <c r="F67" s="184"/>
      <c r="G67" s="35"/>
    </row>
    <row r="68" spans="1:7" s="13" customFormat="1" ht="27" customHeight="1" thickBot="1" x14ac:dyDescent="0.3">
      <c r="A68" s="50" t="s">
        <v>48</v>
      </c>
      <c r="B68" s="30" t="s">
        <v>47</v>
      </c>
      <c r="C68" s="368"/>
      <c r="D68" s="369"/>
      <c r="E68" s="35"/>
      <c r="F68" s="184"/>
      <c r="G68" s="35"/>
    </row>
    <row r="69" spans="1:7" s="13" customFormat="1" ht="40.5" customHeight="1" thickBot="1" x14ac:dyDescent="0.3">
      <c r="A69" s="50" t="s">
        <v>49</v>
      </c>
      <c r="B69" s="30" t="s">
        <v>103</v>
      </c>
      <c r="C69" s="368" t="s">
        <v>304</v>
      </c>
      <c r="D69" s="369"/>
      <c r="E69" s="35"/>
      <c r="F69" s="184" t="s">
        <v>402</v>
      </c>
      <c r="G69" s="35"/>
    </row>
    <row r="70" spans="1:7" s="13" customFormat="1" ht="26.25" thickBot="1" x14ac:dyDescent="0.3">
      <c r="A70" s="50" t="s">
        <v>46</v>
      </c>
      <c r="B70" s="30" t="s">
        <v>81</v>
      </c>
      <c r="C70" s="368"/>
      <c r="D70" s="369"/>
      <c r="E70" s="35"/>
      <c r="F70" s="184"/>
      <c r="G70" s="35"/>
    </row>
    <row r="71" spans="1:7" ht="13.5" thickBot="1" x14ac:dyDescent="0.25">
      <c r="F71" s="215"/>
    </row>
    <row r="72" spans="1:7" s="17" customFormat="1" ht="18.75" thickBot="1" x14ac:dyDescent="0.3">
      <c r="A72" s="373" t="s">
        <v>168</v>
      </c>
      <c r="B72" s="374"/>
      <c r="C72" s="374"/>
      <c r="D72" s="375"/>
      <c r="E72" s="38"/>
      <c r="F72" s="196" t="s">
        <v>395</v>
      </c>
    </row>
    <row r="73" spans="1:7" s="3" customFormat="1" ht="15" customHeight="1" thickBot="1" x14ac:dyDescent="0.3">
      <c r="A73" s="407" t="s">
        <v>169</v>
      </c>
      <c r="B73" s="408"/>
      <c r="C73" s="408"/>
      <c r="D73" s="377"/>
      <c r="E73" s="39"/>
      <c r="F73" s="188" t="s">
        <v>184</v>
      </c>
    </row>
    <row r="74" spans="1:7" s="13" customFormat="1" ht="12.75" customHeight="1" x14ac:dyDescent="0.25">
      <c r="A74" s="409" t="s">
        <v>82</v>
      </c>
      <c r="B74" s="410"/>
      <c r="C74" s="410"/>
      <c r="D74" s="411"/>
      <c r="E74" s="35"/>
      <c r="F74" s="199" t="s">
        <v>181</v>
      </c>
    </row>
    <row r="75" spans="1:7" s="13" customFormat="1" ht="12.75" customHeight="1" x14ac:dyDescent="0.25">
      <c r="A75" s="404" t="s">
        <v>83</v>
      </c>
      <c r="B75" s="405"/>
      <c r="C75" s="405"/>
      <c r="D75" s="406"/>
      <c r="E75" s="35"/>
      <c r="F75" s="189">
        <f>-1257.64*('PPI Adj'!D6)</f>
        <v>-1467.6658800000002</v>
      </c>
    </row>
    <row r="76" spans="1:7" s="13" customFormat="1" ht="12.75" customHeight="1" x14ac:dyDescent="0.25">
      <c r="A76" s="394" t="s">
        <v>34</v>
      </c>
      <c r="B76" s="395"/>
      <c r="C76" s="395"/>
      <c r="D76" s="396"/>
      <c r="E76" s="34"/>
      <c r="F76" s="190">
        <f>593.33*('PPI Adj'!D6)</f>
        <v>692.41611000000012</v>
      </c>
    </row>
    <row r="77" spans="1:7" s="13" customFormat="1" x14ac:dyDescent="0.25">
      <c r="A77" s="388" t="s">
        <v>35</v>
      </c>
      <c r="B77" s="389"/>
      <c r="C77" s="389"/>
      <c r="D77" s="390"/>
      <c r="E77" s="35"/>
      <c r="F77" s="190" t="s">
        <v>183</v>
      </c>
    </row>
    <row r="78" spans="1:7" s="13" customFormat="1" x14ac:dyDescent="0.25">
      <c r="A78" s="388" t="s">
        <v>36</v>
      </c>
      <c r="B78" s="389"/>
      <c r="C78" s="389"/>
      <c r="D78" s="390"/>
      <c r="E78" s="34"/>
      <c r="F78" s="190">
        <f>270*('PPI Adj'!D6)</f>
        <v>315.09000000000003</v>
      </c>
    </row>
    <row r="79" spans="1:7" s="13" customFormat="1" x14ac:dyDescent="0.25">
      <c r="A79" s="388" t="s">
        <v>60</v>
      </c>
      <c r="B79" s="389"/>
      <c r="C79" s="389"/>
      <c r="D79" s="390"/>
      <c r="E79" s="34"/>
      <c r="F79" s="190">
        <f>371.13*('PPI Adj'!D6)</f>
        <v>433.10871000000003</v>
      </c>
    </row>
    <row r="80" spans="1:7" s="13" customFormat="1" x14ac:dyDescent="0.25">
      <c r="A80" s="388" t="s">
        <v>61</v>
      </c>
      <c r="B80" s="389"/>
      <c r="C80" s="389"/>
      <c r="D80" s="390"/>
      <c r="E80" s="34"/>
      <c r="F80" s="190" t="s">
        <v>183</v>
      </c>
    </row>
    <row r="81" spans="1:6" s="13" customFormat="1" x14ac:dyDescent="0.25">
      <c r="A81" s="388" t="s">
        <v>86</v>
      </c>
      <c r="B81" s="389"/>
      <c r="C81" s="389"/>
      <c r="D81" s="390"/>
      <c r="E81" s="34"/>
      <c r="F81" s="190">
        <f>650.5*('PPI Adj'!D6)</f>
        <v>759.13350000000003</v>
      </c>
    </row>
    <row r="82" spans="1:6" x14ac:dyDescent="0.2">
      <c r="A82" s="388" t="s">
        <v>85</v>
      </c>
      <c r="B82" s="389"/>
      <c r="C82" s="389"/>
      <c r="D82" s="390"/>
      <c r="E82" s="34"/>
      <c r="F82" s="190">
        <f>1568.09*('PPI Adj'!D6)</f>
        <v>1829.9610299999999</v>
      </c>
    </row>
    <row r="83" spans="1:6" x14ac:dyDescent="0.2">
      <c r="A83" s="388" t="s">
        <v>13</v>
      </c>
      <c r="B83" s="389"/>
      <c r="C83" s="389"/>
      <c r="D83" s="390"/>
      <c r="E83" s="34"/>
      <c r="F83" s="190">
        <f>7296.4*('PPI Adj'!D6)</f>
        <v>8514.898799999999</v>
      </c>
    </row>
    <row r="84" spans="1:6" x14ac:dyDescent="0.2">
      <c r="A84" s="388" t="s">
        <v>37</v>
      </c>
      <c r="B84" s="389"/>
      <c r="C84" s="389"/>
      <c r="D84" s="390"/>
      <c r="E84" s="35"/>
      <c r="F84" s="190">
        <f>514.48*('PPI Adj'!D6)</f>
        <v>600.39816000000008</v>
      </c>
    </row>
    <row r="85" spans="1:6" x14ac:dyDescent="0.2">
      <c r="A85" s="388" t="s">
        <v>38</v>
      </c>
      <c r="B85" s="389"/>
      <c r="C85" s="389"/>
      <c r="D85" s="390"/>
      <c r="E85" s="35"/>
      <c r="F85" s="190" t="s">
        <v>183</v>
      </c>
    </row>
    <row r="86" spans="1:6" x14ac:dyDescent="0.2">
      <c r="A86" s="388" t="s">
        <v>39</v>
      </c>
      <c r="B86" s="389"/>
      <c r="C86" s="389"/>
      <c r="D86" s="390"/>
      <c r="E86" s="34"/>
      <c r="F86" s="190">
        <f>669.22*('PPI Adj'!D6)</f>
        <v>780.97974000000011</v>
      </c>
    </row>
    <row r="87" spans="1:6" x14ac:dyDescent="0.2">
      <c r="A87" s="388" t="s">
        <v>90</v>
      </c>
      <c r="B87" s="389"/>
      <c r="C87" s="389"/>
      <c r="D87" s="390"/>
      <c r="E87" s="35"/>
      <c r="F87" s="190">
        <f>230.63*('PPI Adj'!D6)</f>
        <v>269.14521000000002</v>
      </c>
    </row>
    <row r="88" spans="1:6" x14ac:dyDescent="0.2">
      <c r="A88" s="388" t="s">
        <v>40</v>
      </c>
      <c r="B88" s="389"/>
      <c r="C88" s="389"/>
      <c r="D88" s="390"/>
      <c r="E88" s="34"/>
      <c r="F88" s="190">
        <f>157.7*('PPI Adj'!D6)</f>
        <v>184.0359</v>
      </c>
    </row>
    <row r="89" spans="1:6" x14ac:dyDescent="0.2">
      <c r="A89" s="388" t="s">
        <v>14</v>
      </c>
      <c r="B89" s="389"/>
      <c r="C89" s="389"/>
      <c r="D89" s="390"/>
      <c r="E89" s="34"/>
      <c r="F89" s="190">
        <f>13905.83*('PPI Adj'!D6)</f>
        <v>16228.10361</v>
      </c>
    </row>
    <row r="90" spans="1:6" x14ac:dyDescent="0.2">
      <c r="A90" s="388" t="s">
        <v>91</v>
      </c>
      <c r="B90" s="389"/>
      <c r="C90" s="389"/>
      <c r="D90" s="390"/>
      <c r="E90" s="34"/>
      <c r="F90" s="190">
        <f>1800*('PPI Adj'!D6)</f>
        <v>2100.6</v>
      </c>
    </row>
    <row r="91" spans="1:6" x14ac:dyDescent="0.2">
      <c r="A91" s="394" t="s">
        <v>415</v>
      </c>
      <c r="B91" s="395"/>
      <c r="C91" s="395"/>
      <c r="D91" s="396"/>
      <c r="E91" s="35"/>
      <c r="F91" s="200">
        <f>-473.13*('PPI Adj'!D6)</f>
        <v>-552.14270999999997</v>
      </c>
    </row>
    <row r="92" spans="1:6" ht="13.5" thickBot="1" x14ac:dyDescent="0.25">
      <c r="A92" s="391" t="s">
        <v>92</v>
      </c>
      <c r="B92" s="392"/>
      <c r="C92" s="392"/>
      <c r="D92" s="393"/>
      <c r="F92" s="191">
        <f>1427.13*('PPI Adj'!D6)</f>
        <v>1665.4607100000003</v>
      </c>
    </row>
    <row r="93" spans="1:6" s="17" customFormat="1" ht="18.75" thickBot="1" x14ac:dyDescent="0.3">
      <c r="A93" s="2"/>
      <c r="B93" s="2"/>
      <c r="C93" s="2"/>
      <c r="D93" s="2"/>
      <c r="E93" s="38"/>
      <c r="F93" s="215"/>
    </row>
    <row r="94" spans="1:6" s="3" customFormat="1" ht="15" customHeight="1" thickBot="1" x14ac:dyDescent="0.3">
      <c r="A94" s="373" t="s">
        <v>166</v>
      </c>
      <c r="B94" s="374"/>
      <c r="C94" s="374"/>
      <c r="D94" s="375"/>
      <c r="E94" s="39"/>
      <c r="F94" s="196" t="s">
        <v>395</v>
      </c>
    </row>
    <row r="95" spans="1:6" s="13" customFormat="1" ht="28.5" customHeight="1" thickBot="1" x14ac:dyDescent="0.3">
      <c r="A95" s="52" t="s">
        <v>33</v>
      </c>
      <c r="B95" s="24" t="s">
        <v>7</v>
      </c>
      <c r="C95" s="397" t="s">
        <v>165</v>
      </c>
      <c r="D95" s="398"/>
      <c r="E95" s="35"/>
      <c r="F95" s="188" t="s">
        <v>184</v>
      </c>
    </row>
    <row r="96" spans="1:6" s="13" customFormat="1" ht="26.25" thickBot="1" x14ac:dyDescent="0.3">
      <c r="A96" s="53" t="s">
        <v>82</v>
      </c>
      <c r="B96" s="16" t="s">
        <v>130</v>
      </c>
      <c r="C96" s="399"/>
      <c r="D96" s="400"/>
      <c r="E96" s="35"/>
      <c r="F96" s="184"/>
    </row>
    <row r="97" spans="1:6" s="13" customFormat="1" ht="39" thickBot="1" x14ac:dyDescent="0.3">
      <c r="A97" s="53" t="s">
        <v>83</v>
      </c>
      <c r="B97" s="23" t="s">
        <v>146</v>
      </c>
      <c r="C97" s="399"/>
      <c r="D97" s="400"/>
      <c r="E97" s="34"/>
      <c r="F97" s="184" t="s">
        <v>346</v>
      </c>
    </row>
    <row r="98" spans="1:6" s="13" customFormat="1" ht="53.1" customHeight="1" thickBot="1" x14ac:dyDescent="0.3">
      <c r="A98" s="50" t="s">
        <v>34</v>
      </c>
      <c r="B98" s="30" t="s">
        <v>107</v>
      </c>
      <c r="C98" s="380" t="s">
        <v>30</v>
      </c>
      <c r="D98" s="381"/>
      <c r="E98" s="35"/>
      <c r="F98" s="184" t="s">
        <v>347</v>
      </c>
    </row>
    <row r="99" spans="1:6" s="13" customFormat="1" ht="28.5" customHeight="1" thickBot="1" x14ac:dyDescent="0.3">
      <c r="A99" s="50" t="s">
        <v>35</v>
      </c>
      <c r="B99" s="30" t="s">
        <v>97</v>
      </c>
      <c r="C99" s="368"/>
      <c r="D99" s="369"/>
      <c r="E99" s="34"/>
      <c r="F99" s="183" t="s">
        <v>348</v>
      </c>
    </row>
    <row r="100" spans="1:6" s="13" customFormat="1" ht="12.75" customHeight="1" thickBot="1" x14ac:dyDescent="0.3">
      <c r="A100" s="50" t="s">
        <v>36</v>
      </c>
      <c r="B100" s="30" t="s">
        <v>84</v>
      </c>
      <c r="C100" s="380" t="s">
        <v>99</v>
      </c>
      <c r="D100" s="381"/>
      <c r="E100" s="34"/>
      <c r="F100" s="184" t="s">
        <v>378</v>
      </c>
    </row>
    <row r="101" spans="1:6" s="13" customFormat="1" ht="12.75" customHeight="1" x14ac:dyDescent="0.25">
      <c r="A101" s="354" t="s">
        <v>60</v>
      </c>
      <c r="B101" s="356" t="s">
        <v>133</v>
      </c>
      <c r="C101" s="358" t="s">
        <v>176</v>
      </c>
      <c r="D101" s="359"/>
      <c r="E101" s="34"/>
      <c r="F101" s="183" t="s">
        <v>379</v>
      </c>
    </row>
    <row r="102" spans="1:6" s="13" customFormat="1" ht="12.75" customHeight="1" x14ac:dyDescent="0.25">
      <c r="A102" s="362"/>
      <c r="B102" s="363"/>
      <c r="C102" s="364" t="s">
        <v>177</v>
      </c>
      <c r="D102" s="365"/>
      <c r="E102" s="34"/>
      <c r="F102" s="169">
        <v>2470</v>
      </c>
    </row>
    <row r="103" spans="1:6" s="13" customFormat="1" ht="30.75" customHeight="1" x14ac:dyDescent="0.25">
      <c r="A103" s="362"/>
      <c r="B103" s="363"/>
      <c r="C103" s="364" t="s">
        <v>114</v>
      </c>
      <c r="D103" s="365"/>
      <c r="E103" s="34"/>
      <c r="F103" s="169" t="s">
        <v>380</v>
      </c>
    </row>
    <row r="104" spans="1:6" s="13" customFormat="1" ht="12.75" customHeight="1" thickBot="1" x14ac:dyDescent="0.3">
      <c r="A104" s="355"/>
      <c r="B104" s="357"/>
      <c r="C104" s="352" t="s">
        <v>115</v>
      </c>
      <c r="D104" s="353"/>
      <c r="E104" s="34"/>
      <c r="F104" s="174" t="s">
        <v>381</v>
      </c>
    </row>
    <row r="105" spans="1:6" s="13" customFormat="1" ht="12.75" customHeight="1" x14ac:dyDescent="0.25">
      <c r="A105" s="354" t="s">
        <v>61</v>
      </c>
      <c r="B105" s="356" t="s">
        <v>134</v>
      </c>
      <c r="C105" s="358" t="s">
        <v>174</v>
      </c>
      <c r="D105" s="359"/>
      <c r="E105" s="34"/>
      <c r="F105" s="183"/>
    </row>
    <row r="106" spans="1:6" s="13" customFormat="1" ht="12.75" customHeight="1" x14ac:dyDescent="0.25">
      <c r="A106" s="362"/>
      <c r="B106" s="363"/>
      <c r="C106" s="364" t="s">
        <v>175</v>
      </c>
      <c r="D106" s="365"/>
      <c r="E106" s="34"/>
      <c r="F106" s="185"/>
    </row>
    <row r="107" spans="1:6" s="13" customFormat="1" ht="12.75" customHeight="1" x14ac:dyDescent="0.25">
      <c r="A107" s="362"/>
      <c r="B107" s="363"/>
      <c r="C107" s="364" t="s">
        <v>176</v>
      </c>
      <c r="D107" s="365"/>
      <c r="E107" s="34"/>
      <c r="F107" s="185"/>
    </row>
    <row r="108" spans="1:6" s="13" customFormat="1" ht="12.75" customHeight="1" x14ac:dyDescent="0.25">
      <c r="A108" s="362"/>
      <c r="B108" s="363"/>
      <c r="C108" s="364" t="s">
        <v>177</v>
      </c>
      <c r="D108" s="365"/>
      <c r="E108" s="34"/>
      <c r="F108" s="169"/>
    </row>
    <row r="109" spans="1:6" s="13" customFormat="1" ht="12.75" customHeight="1" x14ac:dyDescent="0.25">
      <c r="A109" s="362"/>
      <c r="B109" s="363"/>
      <c r="C109" s="364" t="s">
        <v>112</v>
      </c>
      <c r="D109" s="365"/>
      <c r="E109" s="34"/>
      <c r="F109" s="169"/>
    </row>
    <row r="110" spans="1:6" s="13" customFormat="1" ht="12.75" customHeight="1" x14ac:dyDescent="0.25">
      <c r="A110" s="362"/>
      <c r="B110" s="363"/>
      <c r="C110" s="364" t="s">
        <v>113</v>
      </c>
      <c r="D110" s="365"/>
      <c r="E110" s="34"/>
      <c r="F110" s="185"/>
    </row>
    <row r="111" spans="1:6" s="13" customFormat="1" ht="15.95" customHeight="1" x14ac:dyDescent="0.25">
      <c r="A111" s="362"/>
      <c r="B111" s="363"/>
      <c r="C111" s="364" t="s">
        <v>114</v>
      </c>
      <c r="D111" s="365"/>
      <c r="E111" s="34"/>
      <c r="F111" s="185"/>
    </row>
    <row r="112" spans="1:6" s="13" customFormat="1" ht="13.5" thickBot="1" x14ac:dyDescent="0.3">
      <c r="A112" s="355"/>
      <c r="B112" s="357"/>
      <c r="C112" s="352" t="s">
        <v>115</v>
      </c>
      <c r="D112" s="353"/>
      <c r="E112" s="34"/>
      <c r="F112" s="174"/>
    </row>
    <row r="113" spans="1:6" ht="168.95" customHeight="1" thickBot="1" x14ac:dyDescent="0.25">
      <c r="A113" s="54" t="s">
        <v>86</v>
      </c>
      <c r="B113" s="18" t="s">
        <v>143</v>
      </c>
      <c r="C113" s="380" t="s">
        <v>104</v>
      </c>
      <c r="D113" s="381"/>
      <c r="E113" s="34"/>
      <c r="F113" s="183" t="s">
        <v>360</v>
      </c>
    </row>
    <row r="114" spans="1:6" ht="179.25" thickBot="1" x14ac:dyDescent="0.25">
      <c r="A114" s="50" t="s">
        <v>85</v>
      </c>
      <c r="B114" s="14" t="s">
        <v>170</v>
      </c>
      <c r="C114" s="380" t="s">
        <v>104</v>
      </c>
      <c r="D114" s="381"/>
      <c r="E114" s="34"/>
      <c r="F114" s="184" t="s">
        <v>360</v>
      </c>
    </row>
    <row r="115" spans="1:6" ht="32.450000000000003" customHeight="1" x14ac:dyDescent="0.2">
      <c r="A115" s="354" t="s">
        <v>13</v>
      </c>
      <c r="B115" s="356" t="s">
        <v>98</v>
      </c>
      <c r="C115" s="358" t="s">
        <v>30</v>
      </c>
      <c r="D115" s="359"/>
      <c r="E115" s="34"/>
      <c r="F115" s="183" t="s">
        <v>354</v>
      </c>
    </row>
    <row r="116" spans="1:6" ht="68.099999999999994" customHeight="1" thickBot="1" x14ac:dyDescent="0.25">
      <c r="A116" s="355"/>
      <c r="B116" s="357"/>
      <c r="C116" s="352" t="s">
        <v>109</v>
      </c>
      <c r="D116" s="353"/>
      <c r="E116" s="35"/>
      <c r="F116" s="174" t="s">
        <v>355</v>
      </c>
    </row>
    <row r="117" spans="1:6" ht="42.6" customHeight="1" thickBot="1" x14ac:dyDescent="0.25">
      <c r="A117" s="50" t="s">
        <v>37</v>
      </c>
      <c r="B117" s="30" t="s">
        <v>135</v>
      </c>
      <c r="C117" s="368"/>
      <c r="D117" s="369"/>
      <c r="E117" s="35"/>
      <c r="F117" s="184" t="s">
        <v>382</v>
      </c>
    </row>
    <row r="118" spans="1:6" ht="39" thickBot="1" x14ac:dyDescent="0.25">
      <c r="A118" s="50" t="s">
        <v>38</v>
      </c>
      <c r="B118" s="30" t="s">
        <v>87</v>
      </c>
      <c r="C118" s="368"/>
      <c r="D118" s="369"/>
      <c r="E118" s="34"/>
      <c r="F118" s="184" t="s">
        <v>348</v>
      </c>
    </row>
    <row r="119" spans="1:6" ht="38.25" customHeight="1" thickBot="1" x14ac:dyDescent="0.25">
      <c r="A119" s="50" t="s">
        <v>39</v>
      </c>
      <c r="B119" s="30" t="s">
        <v>106</v>
      </c>
      <c r="C119" s="380" t="s">
        <v>105</v>
      </c>
      <c r="D119" s="381"/>
      <c r="E119" s="35"/>
      <c r="F119" s="184" t="s">
        <v>184</v>
      </c>
    </row>
    <row r="120" spans="1:6" ht="39" thickBot="1" x14ac:dyDescent="0.25">
      <c r="A120" s="50" t="s">
        <v>90</v>
      </c>
      <c r="B120" s="30" t="s">
        <v>129</v>
      </c>
      <c r="C120" s="368" t="s">
        <v>305</v>
      </c>
      <c r="D120" s="369"/>
      <c r="E120" s="34"/>
      <c r="F120" s="184" t="s">
        <v>404</v>
      </c>
    </row>
    <row r="121" spans="1:6" ht="48" customHeight="1" thickBot="1" x14ac:dyDescent="0.25">
      <c r="A121" s="50" t="s">
        <v>40</v>
      </c>
      <c r="B121" s="30" t="s">
        <v>137</v>
      </c>
      <c r="C121" s="380" t="s">
        <v>100</v>
      </c>
      <c r="D121" s="381"/>
      <c r="E121" s="34"/>
      <c r="F121" s="174" t="s">
        <v>358</v>
      </c>
    </row>
    <row r="122" spans="1:6" ht="55.5" customHeight="1" thickBot="1" x14ac:dyDescent="0.25">
      <c r="A122" s="354" t="s">
        <v>14</v>
      </c>
      <c r="B122" s="356" t="s">
        <v>138</v>
      </c>
      <c r="C122" s="380" t="s">
        <v>139</v>
      </c>
      <c r="D122" s="381"/>
      <c r="E122" s="34"/>
      <c r="F122" s="184">
        <v>2</v>
      </c>
    </row>
    <row r="123" spans="1:6" ht="66.95" customHeight="1" thickBot="1" x14ac:dyDescent="0.25">
      <c r="A123" s="355"/>
      <c r="B123" s="357"/>
      <c r="C123" s="380" t="s">
        <v>279</v>
      </c>
      <c r="D123" s="381"/>
      <c r="E123" s="34"/>
      <c r="F123" s="184" t="s">
        <v>402</v>
      </c>
    </row>
    <row r="124" spans="1:6" ht="66" customHeight="1" thickBot="1" x14ac:dyDescent="0.25">
      <c r="A124" s="50" t="s">
        <v>91</v>
      </c>
      <c r="B124" s="30" t="s">
        <v>144</v>
      </c>
      <c r="C124" s="380" t="s">
        <v>100</v>
      </c>
      <c r="D124" s="381"/>
      <c r="E124" s="35"/>
      <c r="F124" s="184" t="s">
        <v>359</v>
      </c>
    </row>
    <row r="125" spans="1:6" ht="64.5" thickBot="1" x14ac:dyDescent="0.25">
      <c r="A125" s="50" t="s">
        <v>92</v>
      </c>
      <c r="B125" s="30" t="s">
        <v>145</v>
      </c>
      <c r="C125" s="368"/>
      <c r="D125" s="369"/>
      <c r="F125" s="184"/>
    </row>
  </sheetData>
  <sheetProtection algorithmName="SHA-512" hashValue="Z+aLXC9j1k3DRRcdjpjWfk+sqvuaqC5GXGnol2yb5BCfbzhpkbp6ZZLm4TGwwUFmMMDv0rK3xf+JiYlMcX263Q==" saltValue="HL0SYbSeYlj0INpVFPgZKg==" spinCount="100000" sheet="1" objects="1" scenarios="1"/>
  <dataConsolidate/>
  <mergeCells count="138">
    <mergeCell ref="B10:D10"/>
    <mergeCell ref="B11:D11"/>
    <mergeCell ref="B12:D12"/>
    <mergeCell ref="B13:D13"/>
    <mergeCell ref="B14:D14"/>
    <mergeCell ref="B15:D15"/>
    <mergeCell ref="A3:D3"/>
    <mergeCell ref="A4:D4"/>
    <mergeCell ref="A6:D6"/>
    <mergeCell ref="B8:D8"/>
    <mergeCell ref="B9:D9"/>
    <mergeCell ref="A25:D25"/>
    <mergeCell ref="C26:D26"/>
    <mergeCell ref="C27:D27"/>
    <mergeCell ref="A28:A29"/>
    <mergeCell ref="B28:B29"/>
    <mergeCell ref="C28:D28"/>
    <mergeCell ref="C29:D29"/>
    <mergeCell ref="B16:D16"/>
    <mergeCell ref="B17:D17"/>
    <mergeCell ref="A19:D19"/>
    <mergeCell ref="B21:D21"/>
    <mergeCell ref="B22:D22"/>
    <mergeCell ref="B23:D23"/>
    <mergeCell ref="A36:A37"/>
    <mergeCell ref="B36:B37"/>
    <mergeCell ref="C36:D36"/>
    <mergeCell ref="C37:D37"/>
    <mergeCell ref="A38:A39"/>
    <mergeCell ref="B38:B39"/>
    <mergeCell ref="C38:D38"/>
    <mergeCell ref="C39:D39"/>
    <mergeCell ref="C30:D30"/>
    <mergeCell ref="A31:A35"/>
    <mergeCell ref="B31:B35"/>
    <mergeCell ref="C31:D31"/>
    <mergeCell ref="C32:D32"/>
    <mergeCell ref="C33:D33"/>
    <mergeCell ref="C34:D34"/>
    <mergeCell ref="C35:D35"/>
    <mergeCell ref="C48:D48"/>
    <mergeCell ref="A49:A51"/>
    <mergeCell ref="B49:B51"/>
    <mergeCell ref="C49:D49"/>
    <mergeCell ref="C50:D50"/>
    <mergeCell ref="C51:D51"/>
    <mergeCell ref="C40:D40"/>
    <mergeCell ref="A41:A48"/>
    <mergeCell ref="B41:B48"/>
    <mergeCell ref="C41:D41"/>
    <mergeCell ref="C42:D42"/>
    <mergeCell ref="C43:D43"/>
    <mergeCell ref="C44:D44"/>
    <mergeCell ref="C45:D45"/>
    <mergeCell ref="C46:D46"/>
    <mergeCell ref="C47:D47"/>
    <mergeCell ref="C56:D56"/>
    <mergeCell ref="C57:D57"/>
    <mergeCell ref="C58:D58"/>
    <mergeCell ref="C59:D59"/>
    <mergeCell ref="C60:D60"/>
    <mergeCell ref="C61:D61"/>
    <mergeCell ref="C52:D52"/>
    <mergeCell ref="A53:A55"/>
    <mergeCell ref="B53:B55"/>
    <mergeCell ref="C53:D53"/>
    <mergeCell ref="C54:D54"/>
    <mergeCell ref="C55:D55"/>
    <mergeCell ref="C68:D68"/>
    <mergeCell ref="C69:D69"/>
    <mergeCell ref="C70:D70"/>
    <mergeCell ref="A72:D72"/>
    <mergeCell ref="A73:D73"/>
    <mergeCell ref="A74:D74"/>
    <mergeCell ref="C62:D62"/>
    <mergeCell ref="C63:D63"/>
    <mergeCell ref="C64:D64"/>
    <mergeCell ref="C65:D65"/>
    <mergeCell ref="C66:D66"/>
    <mergeCell ref="C67:D67"/>
    <mergeCell ref="A81:D81"/>
    <mergeCell ref="A82:D82"/>
    <mergeCell ref="A83:D83"/>
    <mergeCell ref="A84:D84"/>
    <mergeCell ref="A85:D85"/>
    <mergeCell ref="A86:D86"/>
    <mergeCell ref="A75:D75"/>
    <mergeCell ref="A76:D76"/>
    <mergeCell ref="A77:D77"/>
    <mergeCell ref="A78:D78"/>
    <mergeCell ref="A79:D79"/>
    <mergeCell ref="A80:D80"/>
    <mergeCell ref="C95:D95"/>
    <mergeCell ref="C96:D96"/>
    <mergeCell ref="C97:D97"/>
    <mergeCell ref="C98:D98"/>
    <mergeCell ref="C99:D99"/>
    <mergeCell ref="C100:D100"/>
    <mergeCell ref="A87:D87"/>
    <mergeCell ref="A88:D88"/>
    <mergeCell ref="A89:D89"/>
    <mergeCell ref="A90:D90"/>
    <mergeCell ref="A92:D92"/>
    <mergeCell ref="A94:D94"/>
    <mergeCell ref="C109:D109"/>
    <mergeCell ref="C110:D110"/>
    <mergeCell ref="C111:D111"/>
    <mergeCell ref="C112:D112"/>
    <mergeCell ref="A101:A104"/>
    <mergeCell ref="B101:B104"/>
    <mergeCell ref="C101:D101"/>
    <mergeCell ref="C102:D102"/>
    <mergeCell ref="C103:D103"/>
    <mergeCell ref="C104:D104"/>
    <mergeCell ref="C124:D124"/>
    <mergeCell ref="C125:D125"/>
    <mergeCell ref="A91:D91"/>
    <mergeCell ref="C117:D117"/>
    <mergeCell ref="C118:D118"/>
    <mergeCell ref="C119:D119"/>
    <mergeCell ref="C120:D120"/>
    <mergeCell ref="C121:D121"/>
    <mergeCell ref="A122:A123"/>
    <mergeCell ref="B122:B123"/>
    <mergeCell ref="C122:D122"/>
    <mergeCell ref="C123:D123"/>
    <mergeCell ref="C113:D113"/>
    <mergeCell ref="C114:D114"/>
    <mergeCell ref="A115:A116"/>
    <mergeCell ref="B115:B116"/>
    <mergeCell ref="C115:D115"/>
    <mergeCell ref="C116:D116"/>
    <mergeCell ref="A105:A112"/>
    <mergeCell ref="B105:B112"/>
    <mergeCell ref="C105:D105"/>
    <mergeCell ref="C106:D106"/>
    <mergeCell ref="C107:D107"/>
    <mergeCell ref="C108:D108"/>
  </mergeCells>
  <conditionalFormatting sqref="C58">
    <cfRule type="expression" dxfId="261" priority="46">
      <formula>#REF!="NO"</formula>
    </cfRule>
  </conditionalFormatting>
  <conditionalFormatting sqref="C52:D55">
    <cfRule type="expression" dxfId="260" priority="35">
      <formula>$F$2="NO"</formula>
    </cfRule>
  </conditionalFormatting>
  <conditionalFormatting sqref="C96:D121">
    <cfRule type="expression" dxfId="259" priority="29">
      <formula>#REF!="NO"</formula>
    </cfRule>
  </conditionalFormatting>
  <conditionalFormatting sqref="C27:E51">
    <cfRule type="expression" dxfId="258" priority="30">
      <formula>#REF!="NO"</formula>
    </cfRule>
  </conditionalFormatting>
  <conditionalFormatting sqref="C122:E122 C123">
    <cfRule type="expression" dxfId="257" priority="41">
      <formula>#REF!="NO"</formula>
    </cfRule>
  </conditionalFormatting>
  <conditionalFormatting sqref="E52:E55 C56:E70 E123:E124 C124:D125">
    <cfRule type="expression" dxfId="256" priority="47">
      <formula>#REF!="NO"</formula>
    </cfRule>
  </conditionalFormatting>
  <conditionalFormatting sqref="E74:E91">
    <cfRule type="expression" dxfId="255" priority="32">
      <formula>#REF!="NO"</formula>
    </cfRule>
  </conditionalFormatting>
  <conditionalFormatting sqref="E95:E121">
    <cfRule type="expression" dxfId="254" priority="33">
      <formula>#REF!="NO"</formula>
    </cfRule>
  </conditionalFormatting>
  <conditionalFormatting sqref="F8:F17">
    <cfRule type="expression" dxfId="253" priority="6">
      <formula>#REF!="NO"</formula>
    </cfRule>
  </conditionalFormatting>
  <conditionalFormatting sqref="F21:F23">
    <cfRule type="expression" dxfId="252" priority="15">
      <formula>#REF!="NO"</formula>
    </cfRule>
  </conditionalFormatting>
  <conditionalFormatting sqref="F74:F92">
    <cfRule type="expression" dxfId="251" priority="4">
      <formula>#REF!="NO"</formula>
    </cfRule>
  </conditionalFormatting>
  <conditionalFormatting sqref="F96:F125">
    <cfRule type="expression" dxfId="250" priority="1">
      <formula>#REF!="NO"</formula>
    </cfRule>
  </conditionalFormatting>
  <conditionalFormatting sqref="F27:G70">
    <cfRule type="expression" dxfId="249" priority="2">
      <formula>#REF!="NO"</formula>
    </cfRule>
  </conditionalFormatting>
  <dataValidations count="3">
    <dataValidation type="decimal" operator="greaterThanOrEqual" allowBlank="1" showInputMessage="1" showErrorMessage="1" error="The Pickup Allowance cannot be a negative number." sqref="F16" xr:uid="{338BAAA0-D5A6-4837-824B-8EB5DED307AC}">
      <formula1>0</formula1>
    </dataValidation>
    <dataValidation type="decimal" allowBlank="1" showInputMessage="1" showErrorMessage="1" error="Invalid Entry - Bidder must enter a value that is greater than $0" sqref="F21" xr:uid="{6035D1E0-DDF7-400C-BFB9-726C5663C96A}">
      <formula1>0</formula1>
      <formula2>9E+21</formula2>
    </dataValidation>
    <dataValidation type="decimal" allowBlank="1" showInputMessage="1" showErrorMessage="1" error="The Additional Options NYS Discount entered must be greater than 0%, or less than or equal to 100%." sqref="F23" xr:uid="{7DC88D20-CF00-4A01-9903-19CBFB7A33C7}">
      <formula1>0.01</formula1>
      <formula2>100</formula2>
    </dataValidation>
  </dataValidations>
  <pageMargins left="0.25" right="0.25" top="0.5" bottom="0.25" header="0.3" footer="0.3"/>
  <pageSetup scale="95" fitToHeight="0" orientation="landscape" r:id="rId1"/>
  <rowBreaks count="2" manualBreakCount="2">
    <brk id="70" max="5" man="1"/>
    <brk id="113"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756D7-B818-4446-886D-F2FD70230085}">
  <sheetPr>
    <tabColor theme="5" tint="0.59999389629810485"/>
    <pageSetUpPr autoPageBreaks="0" fitToPage="1"/>
  </sheetPr>
  <dimension ref="A1:K135"/>
  <sheetViews>
    <sheetView showGridLines="0" zoomScaleNormal="100" zoomScaleSheetLayoutView="8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2" style="2" customWidth="1"/>
    <col min="5" max="5" width="2.7109375" style="2" customWidth="1"/>
    <col min="6" max="6" width="21.28515625" style="187" customWidth="1"/>
    <col min="7" max="8" width="21.28515625" style="210" customWidth="1"/>
    <col min="9" max="16384" width="9.140625" style="2"/>
  </cols>
  <sheetData>
    <row r="1" spans="1:11" ht="18" customHeight="1" x14ac:dyDescent="0.2">
      <c r="A1" s="165" t="str">
        <f>'A (Item 2-G)'!$A$1</f>
        <v>GROUP 40524-23254, SCHOOL BUSES (Statewide)                                                             Attachment 1 - Specifications and Pricing (Revised October 15, 2026)</v>
      </c>
      <c r="F1" s="210"/>
    </row>
    <row r="2" spans="1:11" s="25" customFormat="1" ht="18" customHeight="1" thickBot="1" x14ac:dyDescent="0.3">
      <c r="A2" s="316" t="str">
        <f>'Attachment 1 - Summary'!B2</f>
        <v>PC69864 New York Bus Sales, LLC</v>
      </c>
      <c r="B2" s="26"/>
      <c r="C2" s="26"/>
      <c r="D2" s="26"/>
      <c r="E2" s="26"/>
      <c r="F2" s="314"/>
      <c r="G2" s="316"/>
      <c r="H2" s="316"/>
    </row>
    <row r="3" spans="1:11" ht="24" thickBot="1" x14ac:dyDescent="0.25">
      <c r="A3" s="420" t="s">
        <v>262</v>
      </c>
      <c r="B3" s="421"/>
      <c r="C3" s="421"/>
      <c r="D3" s="422"/>
      <c r="E3" s="9"/>
      <c r="F3" s="312"/>
    </row>
    <row r="4" spans="1:11" ht="51" customHeight="1" thickBot="1" x14ac:dyDescent="0.25">
      <c r="A4" s="343" t="s">
        <v>261</v>
      </c>
      <c r="B4" s="344"/>
      <c r="C4" s="344"/>
      <c r="D4" s="345"/>
      <c r="E4" s="9"/>
      <c r="F4" s="312"/>
    </row>
    <row r="5" spans="1:11" s="4" customFormat="1" ht="11.25" customHeight="1" thickBot="1" x14ac:dyDescent="0.3">
      <c r="A5" s="57"/>
      <c r="B5" s="57"/>
      <c r="C5" s="57"/>
      <c r="D5" s="57"/>
      <c r="E5" s="57"/>
      <c r="F5" s="313"/>
      <c r="G5" s="224"/>
      <c r="H5" s="224"/>
    </row>
    <row r="6" spans="1:11" s="8" customFormat="1" ht="16.5" thickBot="1" x14ac:dyDescent="0.25">
      <c r="A6" s="346" t="s">
        <v>151</v>
      </c>
      <c r="B6" s="347"/>
      <c r="C6" s="347"/>
      <c r="D6" s="348"/>
      <c r="E6" s="36"/>
      <c r="F6" s="417" t="s">
        <v>420</v>
      </c>
      <c r="G6" s="418"/>
      <c r="H6" s="419"/>
    </row>
    <row r="7" spans="1:11" s="4" customFormat="1" ht="15" customHeight="1" thickBot="1" x14ac:dyDescent="0.3">
      <c r="A7" s="41" t="s">
        <v>6</v>
      </c>
      <c r="B7" s="27" t="s">
        <v>165</v>
      </c>
      <c r="C7" s="32"/>
      <c r="D7" s="40"/>
      <c r="E7" s="37"/>
      <c r="F7" s="216" t="s">
        <v>19</v>
      </c>
      <c r="G7" s="217" t="s">
        <v>248</v>
      </c>
      <c r="H7" s="218" t="s">
        <v>269</v>
      </c>
    </row>
    <row r="8" spans="1:11" ht="65.25" thickTop="1" thickBot="1" x14ac:dyDescent="0.25">
      <c r="A8" s="42" t="s">
        <v>9</v>
      </c>
      <c r="B8" s="337" t="s">
        <v>152</v>
      </c>
      <c r="C8" s="338"/>
      <c r="D8" s="339"/>
      <c r="E8" s="13"/>
      <c r="F8" s="167" t="s">
        <v>419</v>
      </c>
      <c r="G8" s="219" t="s">
        <v>416</v>
      </c>
      <c r="H8" s="219" t="s">
        <v>416</v>
      </c>
    </row>
    <row r="9" spans="1:11" s="8" customFormat="1" ht="39.6" customHeight="1" thickTop="1" thickBot="1" x14ac:dyDescent="0.25">
      <c r="A9" s="42" t="s">
        <v>136</v>
      </c>
      <c r="B9" s="337" t="s">
        <v>191</v>
      </c>
      <c r="C9" s="338"/>
      <c r="D9" s="339"/>
      <c r="E9" s="13"/>
      <c r="F9" s="167" t="s">
        <v>418</v>
      </c>
      <c r="G9" s="219" t="s">
        <v>417</v>
      </c>
      <c r="H9" s="219" t="s">
        <v>418</v>
      </c>
    </row>
    <row r="10" spans="1:11" ht="14.1" customHeight="1" thickTop="1" x14ac:dyDescent="0.2">
      <c r="A10" s="43" t="s">
        <v>0</v>
      </c>
      <c r="B10" s="328" t="s">
        <v>154</v>
      </c>
      <c r="C10" s="329"/>
      <c r="D10" s="330"/>
      <c r="E10" s="13"/>
      <c r="F10" s="169" t="s">
        <v>420</v>
      </c>
      <c r="G10" s="220" t="s">
        <v>420</v>
      </c>
      <c r="H10" s="220" t="s">
        <v>420</v>
      </c>
    </row>
    <row r="11" spans="1:11" x14ac:dyDescent="0.2">
      <c r="A11" s="43" t="s">
        <v>1</v>
      </c>
      <c r="B11" s="328" t="s">
        <v>153</v>
      </c>
      <c r="C11" s="329"/>
      <c r="D11" s="330"/>
      <c r="E11" s="13"/>
      <c r="F11" s="169" t="s">
        <v>421</v>
      </c>
      <c r="G11" s="220" t="s">
        <v>421</v>
      </c>
      <c r="H11" s="220" t="s">
        <v>421</v>
      </c>
    </row>
    <row r="12" spans="1:11" ht="15" customHeight="1" thickBot="1" x14ac:dyDescent="0.25">
      <c r="A12" s="44" t="s">
        <v>2</v>
      </c>
      <c r="B12" s="331" t="s">
        <v>155</v>
      </c>
      <c r="C12" s="332"/>
      <c r="D12" s="333"/>
      <c r="E12" s="13"/>
      <c r="F12" s="170">
        <v>1910</v>
      </c>
      <c r="G12" s="221">
        <v>2311</v>
      </c>
      <c r="H12" s="221">
        <v>1910</v>
      </c>
      <c r="K12" s="2" t="s">
        <v>260</v>
      </c>
    </row>
    <row r="13" spans="1:11" ht="13.5" thickTop="1" x14ac:dyDescent="0.2">
      <c r="A13" s="43" t="s">
        <v>3</v>
      </c>
      <c r="B13" s="328" t="s">
        <v>157</v>
      </c>
      <c r="C13" s="329"/>
      <c r="D13" s="330"/>
      <c r="E13" s="13"/>
      <c r="F13" s="169" t="s">
        <v>420</v>
      </c>
      <c r="G13" s="220" t="s">
        <v>420</v>
      </c>
      <c r="H13" s="220" t="s">
        <v>420</v>
      </c>
    </row>
    <row r="14" spans="1:11" x14ac:dyDescent="0.2">
      <c r="A14" s="43" t="s">
        <v>4</v>
      </c>
      <c r="B14" s="328" t="s">
        <v>156</v>
      </c>
      <c r="C14" s="329"/>
      <c r="D14" s="330"/>
      <c r="E14" s="13"/>
      <c r="F14" s="169" t="s">
        <v>422</v>
      </c>
      <c r="G14" s="220" t="s">
        <v>422</v>
      </c>
      <c r="H14" s="220" t="s">
        <v>422</v>
      </c>
    </row>
    <row r="15" spans="1:11" ht="15.75" customHeight="1" thickBot="1" x14ac:dyDescent="0.25">
      <c r="A15" s="45" t="s">
        <v>5</v>
      </c>
      <c r="B15" s="331" t="s">
        <v>158</v>
      </c>
      <c r="C15" s="332"/>
      <c r="D15" s="333"/>
      <c r="E15" s="13"/>
      <c r="F15" s="172">
        <v>1910</v>
      </c>
      <c r="G15" s="221">
        <v>2311</v>
      </c>
      <c r="H15" s="221">
        <v>1910</v>
      </c>
    </row>
    <row r="16" spans="1:11" ht="29.25" customHeight="1" thickTop="1" x14ac:dyDescent="0.2">
      <c r="A16" s="43" t="s">
        <v>101</v>
      </c>
      <c r="B16" s="334" t="s">
        <v>160</v>
      </c>
      <c r="C16" s="335"/>
      <c r="D16" s="336"/>
      <c r="E16" s="13"/>
      <c r="F16" s="173">
        <v>100</v>
      </c>
      <c r="G16" s="222">
        <v>100</v>
      </c>
      <c r="H16" s="222">
        <v>100</v>
      </c>
    </row>
    <row r="17" spans="1:8" ht="30.75" customHeight="1" thickBot="1" x14ac:dyDescent="0.25">
      <c r="A17" s="45" t="s">
        <v>43</v>
      </c>
      <c r="B17" s="331" t="s">
        <v>159</v>
      </c>
      <c r="C17" s="332"/>
      <c r="D17" s="333"/>
      <c r="E17" s="13"/>
      <c r="F17" s="172" t="s">
        <v>334</v>
      </c>
      <c r="G17" s="223" t="s">
        <v>334</v>
      </c>
      <c r="H17" s="223" t="s">
        <v>334</v>
      </c>
    </row>
    <row r="18" spans="1:8" s="10" customFormat="1" ht="14.25" thickTop="1" thickBot="1" x14ac:dyDescent="0.25">
      <c r="C18" s="11"/>
      <c r="D18" s="11"/>
      <c r="E18" s="11"/>
      <c r="F18" s="175"/>
      <c r="G18" s="224"/>
      <c r="H18" s="224"/>
    </row>
    <row r="19" spans="1:8" s="12" customFormat="1" ht="16.5" thickBot="1" x14ac:dyDescent="0.25">
      <c r="A19" s="346" t="s">
        <v>150</v>
      </c>
      <c r="B19" s="347"/>
      <c r="C19" s="347"/>
      <c r="D19" s="348"/>
      <c r="E19" s="36"/>
      <c r="F19" s="417" t="s">
        <v>420</v>
      </c>
      <c r="G19" s="418"/>
      <c r="H19" s="419"/>
    </row>
    <row r="20" spans="1:8" s="4" customFormat="1" ht="15" customHeight="1" thickBot="1" x14ac:dyDescent="0.3">
      <c r="A20" s="55" t="s">
        <v>6</v>
      </c>
      <c r="B20" s="31" t="s">
        <v>165</v>
      </c>
      <c r="C20" s="33"/>
      <c r="D20" s="48"/>
      <c r="E20" s="37"/>
      <c r="F20" s="216" t="s">
        <v>19</v>
      </c>
      <c r="G20" s="217" t="s">
        <v>248</v>
      </c>
      <c r="H20" s="218" t="s">
        <v>269</v>
      </c>
    </row>
    <row r="21" spans="1:8" ht="56.25" customHeight="1" x14ac:dyDescent="0.2">
      <c r="A21" s="46" t="s">
        <v>42</v>
      </c>
      <c r="B21" s="349" t="s">
        <v>161</v>
      </c>
      <c r="C21" s="350"/>
      <c r="D21" s="351"/>
      <c r="E21" s="13"/>
      <c r="F21" s="197">
        <f>124400*('PPI Adj'!D6)</f>
        <v>145174.80000000002</v>
      </c>
      <c r="G21" s="225">
        <f>122800*('PPI Adj'!D6)</f>
        <v>143307.6</v>
      </c>
      <c r="H21" s="225">
        <f>133300*('PPI Adj'!D6)</f>
        <v>155561.1</v>
      </c>
    </row>
    <row r="22" spans="1:8" ht="33" customHeight="1" thickBot="1" x14ac:dyDescent="0.25">
      <c r="A22" s="47" t="s">
        <v>41</v>
      </c>
      <c r="B22" s="370" t="s">
        <v>163</v>
      </c>
      <c r="C22" s="371"/>
      <c r="D22" s="372"/>
      <c r="E22" s="1"/>
      <c r="F22" s="179">
        <v>22</v>
      </c>
      <c r="G22" s="226">
        <v>22</v>
      </c>
      <c r="H22" s="226">
        <v>22</v>
      </c>
    </row>
    <row r="23" spans="1:8" ht="13.5" thickBot="1" x14ac:dyDescent="0.25">
      <c r="A23" s="58"/>
      <c r="B23" s="1"/>
      <c r="C23" s="1"/>
      <c r="D23" s="1"/>
      <c r="E23" s="1"/>
      <c r="F23" s="180"/>
      <c r="G23" s="212"/>
      <c r="H23" s="212"/>
    </row>
    <row r="24" spans="1:8" s="8" customFormat="1" ht="16.5" thickBot="1" x14ac:dyDescent="0.25">
      <c r="A24" s="373" t="s">
        <v>164</v>
      </c>
      <c r="B24" s="374"/>
      <c r="C24" s="374"/>
      <c r="D24" s="375"/>
      <c r="E24" s="38"/>
      <c r="F24" s="417" t="s">
        <v>420</v>
      </c>
      <c r="G24" s="418"/>
      <c r="H24" s="419"/>
    </row>
    <row r="25" spans="1:8" s="3" customFormat="1" ht="32.25" customHeight="1" thickBot="1" x14ac:dyDescent="0.3">
      <c r="A25" s="55" t="s">
        <v>6</v>
      </c>
      <c r="B25" s="56" t="s">
        <v>7</v>
      </c>
      <c r="C25" s="376" t="s">
        <v>165</v>
      </c>
      <c r="D25" s="377"/>
      <c r="E25" s="39"/>
      <c r="F25" s="216" t="s">
        <v>19</v>
      </c>
      <c r="G25" s="217" t="s">
        <v>248</v>
      </c>
      <c r="H25" s="218" t="s">
        <v>269</v>
      </c>
    </row>
    <row r="26" spans="1:8" s="13" customFormat="1" ht="81" customHeight="1" thickBot="1" x14ac:dyDescent="0.3">
      <c r="A26" s="49" t="s">
        <v>8</v>
      </c>
      <c r="B26" s="29" t="s">
        <v>259</v>
      </c>
      <c r="C26" s="352" t="s">
        <v>118</v>
      </c>
      <c r="D26" s="353"/>
      <c r="E26" s="34"/>
      <c r="F26" s="174">
        <v>29000</v>
      </c>
      <c r="G26" s="184">
        <v>29000</v>
      </c>
      <c r="H26" s="184">
        <v>29000</v>
      </c>
    </row>
    <row r="27" spans="1:8" s="13" customFormat="1" x14ac:dyDescent="0.25">
      <c r="A27" s="354" t="s">
        <v>21</v>
      </c>
      <c r="B27" s="356" t="s">
        <v>258</v>
      </c>
      <c r="C27" s="358" t="s">
        <v>67</v>
      </c>
      <c r="D27" s="359"/>
      <c r="E27" s="34"/>
      <c r="F27" s="183">
        <v>6</v>
      </c>
      <c r="G27" s="227">
        <v>6</v>
      </c>
      <c r="H27" s="227">
        <v>6</v>
      </c>
    </row>
    <row r="28" spans="1:8" s="13" customFormat="1" ht="54" customHeight="1" thickBot="1" x14ac:dyDescent="0.3">
      <c r="A28" s="355"/>
      <c r="B28" s="357"/>
      <c r="C28" s="352" t="s">
        <v>68</v>
      </c>
      <c r="D28" s="353"/>
      <c r="E28" s="34"/>
      <c r="F28" s="174">
        <v>36</v>
      </c>
      <c r="G28" s="228" t="s">
        <v>437</v>
      </c>
      <c r="H28" s="228">
        <v>36</v>
      </c>
    </row>
    <row r="29" spans="1:8" s="13" customFormat="1" ht="13.5" thickBot="1" x14ac:dyDescent="0.3">
      <c r="A29" s="50" t="s">
        <v>123</v>
      </c>
      <c r="B29" s="30" t="s">
        <v>108</v>
      </c>
      <c r="C29" s="368"/>
      <c r="D29" s="369"/>
      <c r="E29" s="35"/>
      <c r="F29" s="184"/>
      <c r="G29" s="229"/>
      <c r="H29" s="229"/>
    </row>
    <row r="30" spans="1:8" s="13" customFormat="1" x14ac:dyDescent="0.25">
      <c r="A30" s="354" t="s">
        <v>59</v>
      </c>
      <c r="B30" s="356"/>
      <c r="C30" s="358" t="s">
        <v>58</v>
      </c>
      <c r="D30" s="359"/>
      <c r="E30" s="34"/>
      <c r="F30" s="183">
        <v>169</v>
      </c>
      <c r="G30" s="227">
        <v>169</v>
      </c>
      <c r="H30" s="227">
        <v>169</v>
      </c>
    </row>
    <row r="31" spans="1:8" s="13" customFormat="1" x14ac:dyDescent="0.25">
      <c r="A31" s="362"/>
      <c r="B31" s="363"/>
      <c r="C31" s="364" t="s">
        <v>57</v>
      </c>
      <c r="D31" s="365"/>
      <c r="E31" s="34"/>
      <c r="F31" s="169">
        <v>306.72000000000003</v>
      </c>
      <c r="G31" s="220">
        <v>306.72000000000003</v>
      </c>
      <c r="H31" s="220">
        <v>306.72000000000003</v>
      </c>
    </row>
    <row r="32" spans="1:8" s="13" customFormat="1" x14ac:dyDescent="0.25">
      <c r="A32" s="362"/>
      <c r="B32" s="363"/>
      <c r="C32" s="364" t="s">
        <v>69</v>
      </c>
      <c r="D32" s="365"/>
      <c r="E32" s="34"/>
      <c r="F32" s="169" t="s">
        <v>423</v>
      </c>
      <c r="G32" s="220" t="s">
        <v>423</v>
      </c>
      <c r="H32" s="220" t="s">
        <v>423</v>
      </c>
    </row>
    <row r="33" spans="1:8" s="13" customFormat="1" x14ac:dyDescent="0.25">
      <c r="A33" s="362"/>
      <c r="B33" s="363"/>
      <c r="C33" s="366" t="s">
        <v>70</v>
      </c>
      <c r="D33" s="367"/>
      <c r="E33" s="34"/>
      <c r="F33" s="169" t="s">
        <v>424</v>
      </c>
      <c r="G33" s="220" t="s">
        <v>424</v>
      </c>
      <c r="H33" s="220" t="s">
        <v>424</v>
      </c>
    </row>
    <row r="34" spans="1:8" s="13" customFormat="1" ht="15.6" customHeight="1" thickBot="1" x14ac:dyDescent="0.3">
      <c r="A34" s="355"/>
      <c r="B34" s="357"/>
      <c r="C34" s="352" t="s">
        <v>111</v>
      </c>
      <c r="D34" s="353"/>
      <c r="E34" s="34"/>
      <c r="F34" s="174">
        <v>211.47</v>
      </c>
      <c r="G34" s="228">
        <v>211.47</v>
      </c>
      <c r="H34" s="228">
        <v>211.47</v>
      </c>
    </row>
    <row r="35" spans="1:8" s="13" customFormat="1" ht="15.95" customHeight="1" thickBot="1" x14ac:dyDescent="0.3">
      <c r="A35" s="50" t="s">
        <v>224</v>
      </c>
      <c r="B35" s="30" t="s">
        <v>223</v>
      </c>
      <c r="C35" s="368"/>
      <c r="D35" s="369"/>
      <c r="E35" s="35"/>
      <c r="F35" s="184"/>
      <c r="G35" s="229"/>
      <c r="H35" s="229"/>
    </row>
    <row r="36" spans="1:8" s="13" customFormat="1" ht="15.6" customHeight="1" x14ac:dyDescent="0.25">
      <c r="A36" s="354" t="s">
        <v>11</v>
      </c>
      <c r="B36" s="356"/>
      <c r="C36" s="358" t="s">
        <v>24</v>
      </c>
      <c r="D36" s="359"/>
      <c r="E36" s="34"/>
      <c r="F36" s="183">
        <v>10000</v>
      </c>
      <c r="G36" s="227">
        <v>10000</v>
      </c>
      <c r="H36" s="227">
        <v>10000</v>
      </c>
    </row>
    <row r="37" spans="1:8" s="13" customFormat="1" ht="15.6" customHeight="1" thickBot="1" x14ac:dyDescent="0.3">
      <c r="A37" s="355"/>
      <c r="B37" s="357"/>
      <c r="C37" s="352" t="s">
        <v>22</v>
      </c>
      <c r="D37" s="353"/>
      <c r="E37" s="34"/>
      <c r="F37" s="174">
        <v>12000</v>
      </c>
      <c r="G37" s="228">
        <v>12000</v>
      </c>
      <c r="H37" s="228">
        <v>12000</v>
      </c>
    </row>
    <row r="38" spans="1:8" s="13" customFormat="1" ht="15" customHeight="1" x14ac:dyDescent="0.25">
      <c r="A38" s="354" t="s">
        <v>16</v>
      </c>
      <c r="B38" s="356"/>
      <c r="C38" s="358" t="s">
        <v>24</v>
      </c>
      <c r="D38" s="359"/>
      <c r="E38" s="34"/>
      <c r="F38" s="183">
        <v>19000</v>
      </c>
      <c r="G38" s="227">
        <v>19000</v>
      </c>
      <c r="H38" s="227">
        <v>19000</v>
      </c>
    </row>
    <row r="39" spans="1:8" s="13" customFormat="1" ht="15.6" customHeight="1" thickBot="1" x14ac:dyDescent="0.3">
      <c r="A39" s="355"/>
      <c r="B39" s="357"/>
      <c r="C39" s="360" t="s">
        <v>23</v>
      </c>
      <c r="D39" s="361"/>
      <c r="E39" s="34"/>
      <c r="F39" s="174">
        <v>21000</v>
      </c>
      <c r="G39" s="228">
        <v>21000</v>
      </c>
      <c r="H39" s="228">
        <v>21000</v>
      </c>
    </row>
    <row r="40" spans="1:8" s="13" customFormat="1" ht="15.6" customHeight="1" thickBot="1" x14ac:dyDescent="0.3">
      <c r="A40" s="50" t="s">
        <v>52</v>
      </c>
      <c r="B40" s="30" t="s">
        <v>53</v>
      </c>
      <c r="C40" s="368"/>
      <c r="D40" s="369"/>
      <c r="E40" s="35"/>
      <c r="F40" s="184"/>
      <c r="G40" s="229"/>
      <c r="H40" s="229"/>
    </row>
    <row r="41" spans="1:8" s="13" customFormat="1" x14ac:dyDescent="0.25">
      <c r="A41" s="354" t="s">
        <v>219</v>
      </c>
      <c r="B41" s="356" t="s">
        <v>222</v>
      </c>
      <c r="C41" s="358" t="s">
        <v>221</v>
      </c>
      <c r="D41" s="359"/>
      <c r="E41" s="34"/>
      <c r="F41" s="183" t="s">
        <v>257</v>
      </c>
      <c r="G41" s="227" t="s">
        <v>257</v>
      </c>
      <c r="H41" s="227" t="s">
        <v>257</v>
      </c>
    </row>
    <row r="42" spans="1:8" s="13" customFormat="1" ht="14.45" customHeight="1" x14ac:dyDescent="0.25">
      <c r="A42" s="362"/>
      <c r="B42" s="363"/>
      <c r="C42" s="364" t="s">
        <v>220</v>
      </c>
      <c r="D42" s="365"/>
      <c r="E42" s="34"/>
      <c r="F42" s="169" t="s">
        <v>425</v>
      </c>
      <c r="G42" s="220" t="s">
        <v>425</v>
      </c>
      <c r="H42" s="220" t="s">
        <v>425</v>
      </c>
    </row>
    <row r="43" spans="1:8" s="13" customFormat="1" ht="80.45" customHeight="1" thickBot="1" x14ac:dyDescent="0.3">
      <c r="A43" s="355"/>
      <c r="B43" s="363"/>
      <c r="C43" s="360"/>
      <c r="D43" s="361"/>
      <c r="E43" s="34"/>
      <c r="F43" s="171"/>
      <c r="G43" s="230"/>
      <c r="H43" s="230"/>
    </row>
    <row r="44" spans="1:8" s="13" customFormat="1" ht="28.5" customHeight="1" thickBot="1" x14ac:dyDescent="0.3">
      <c r="A44" s="50" t="s">
        <v>219</v>
      </c>
      <c r="B44" s="30" t="s">
        <v>218</v>
      </c>
      <c r="C44" s="368"/>
      <c r="D44" s="369"/>
      <c r="E44" s="35"/>
      <c r="F44" s="184"/>
      <c r="G44" s="229"/>
      <c r="H44" s="229"/>
    </row>
    <row r="45" spans="1:8" s="13" customFormat="1" ht="13.5" thickBot="1" x14ac:dyDescent="0.3">
      <c r="A45" s="378" t="s">
        <v>12</v>
      </c>
      <c r="B45" s="379" t="s">
        <v>142</v>
      </c>
      <c r="C45" s="358" t="s">
        <v>174</v>
      </c>
      <c r="D45" s="359"/>
      <c r="E45" s="34"/>
      <c r="F45" s="183" t="s">
        <v>278</v>
      </c>
      <c r="G45" s="227" t="s">
        <v>278</v>
      </c>
      <c r="H45" s="227" t="s">
        <v>278</v>
      </c>
    </row>
    <row r="46" spans="1:8" s="13" customFormat="1" ht="13.5" thickBot="1" x14ac:dyDescent="0.3">
      <c r="A46" s="378"/>
      <c r="B46" s="379"/>
      <c r="C46" s="364" t="s">
        <v>175</v>
      </c>
      <c r="D46" s="365"/>
      <c r="E46" s="34"/>
      <c r="F46" s="169">
        <v>6610</v>
      </c>
      <c r="G46" s="220">
        <v>6610</v>
      </c>
      <c r="H46" s="220">
        <v>6610</v>
      </c>
    </row>
    <row r="47" spans="1:8" s="13" customFormat="1" ht="13.5" thickBot="1" x14ac:dyDescent="0.3">
      <c r="A47" s="378"/>
      <c r="B47" s="379"/>
      <c r="C47" s="364" t="s">
        <v>176</v>
      </c>
      <c r="D47" s="365"/>
      <c r="E47" s="34"/>
      <c r="F47" s="185" t="s">
        <v>278</v>
      </c>
      <c r="G47" s="231" t="s">
        <v>278</v>
      </c>
      <c r="H47" s="231" t="s">
        <v>278</v>
      </c>
    </row>
    <row r="48" spans="1:8" s="13" customFormat="1" ht="13.5" thickBot="1" x14ac:dyDescent="0.3">
      <c r="A48" s="378"/>
      <c r="B48" s="379"/>
      <c r="C48" s="364" t="s">
        <v>177</v>
      </c>
      <c r="D48" s="365"/>
      <c r="E48" s="34"/>
      <c r="F48" s="169">
        <v>6005</v>
      </c>
      <c r="G48" s="220">
        <v>6005</v>
      </c>
      <c r="H48" s="220">
        <v>6005</v>
      </c>
    </row>
    <row r="49" spans="1:8" s="13" customFormat="1" ht="13.5" thickBot="1" x14ac:dyDescent="0.3">
      <c r="A49" s="378"/>
      <c r="B49" s="379"/>
      <c r="C49" s="364" t="s">
        <v>112</v>
      </c>
      <c r="D49" s="365"/>
      <c r="E49" s="34"/>
      <c r="F49" s="169" t="s">
        <v>426</v>
      </c>
      <c r="G49" s="220" t="s">
        <v>426</v>
      </c>
      <c r="H49" s="220" t="s">
        <v>426</v>
      </c>
    </row>
    <row r="50" spans="1:8" s="13" customFormat="1" ht="13.5" thickBot="1" x14ac:dyDescent="0.3">
      <c r="A50" s="378"/>
      <c r="B50" s="379"/>
      <c r="C50" s="364" t="s">
        <v>113</v>
      </c>
      <c r="D50" s="365"/>
      <c r="E50" s="34"/>
      <c r="F50" s="169" t="s">
        <v>427</v>
      </c>
      <c r="G50" s="220" t="s">
        <v>427</v>
      </c>
      <c r="H50" s="220" t="s">
        <v>427</v>
      </c>
    </row>
    <row r="51" spans="1:8" s="13" customFormat="1" ht="13.5" thickBot="1" x14ac:dyDescent="0.3">
      <c r="A51" s="378"/>
      <c r="B51" s="379"/>
      <c r="C51" s="366" t="s">
        <v>114</v>
      </c>
      <c r="D51" s="367"/>
      <c r="E51" s="34"/>
      <c r="F51" s="169" t="s">
        <v>426</v>
      </c>
      <c r="G51" s="220" t="s">
        <v>426</v>
      </c>
      <c r="H51" s="220" t="s">
        <v>426</v>
      </c>
    </row>
    <row r="52" spans="1:8" s="13" customFormat="1" ht="14.45" customHeight="1" thickBot="1" x14ac:dyDescent="0.3">
      <c r="A52" s="378"/>
      <c r="B52" s="379"/>
      <c r="C52" s="352" t="s">
        <v>115</v>
      </c>
      <c r="D52" s="353"/>
      <c r="E52" s="34"/>
      <c r="F52" s="174" t="s">
        <v>427</v>
      </c>
      <c r="G52" s="220" t="s">
        <v>427</v>
      </c>
      <c r="H52" s="220" t="s">
        <v>427</v>
      </c>
    </row>
    <row r="53" spans="1:8" s="13" customFormat="1" ht="15" customHeight="1" x14ac:dyDescent="0.25">
      <c r="A53" s="354" t="s">
        <v>10</v>
      </c>
      <c r="B53" s="356" t="s">
        <v>217</v>
      </c>
      <c r="C53" s="358" t="s">
        <v>116</v>
      </c>
      <c r="D53" s="359"/>
      <c r="E53" s="34"/>
      <c r="F53" s="183">
        <v>5</v>
      </c>
      <c r="G53" s="227">
        <v>5</v>
      </c>
      <c r="H53" s="227">
        <v>5</v>
      </c>
    </row>
    <row r="54" spans="1:8" s="13" customFormat="1" x14ac:dyDescent="0.25">
      <c r="A54" s="362"/>
      <c r="B54" s="363"/>
      <c r="C54" s="364" t="s">
        <v>117</v>
      </c>
      <c r="D54" s="365"/>
      <c r="E54" s="34"/>
      <c r="F54" s="169" t="s">
        <v>197</v>
      </c>
      <c r="G54" s="220" t="s">
        <v>197</v>
      </c>
      <c r="H54" s="220" t="s">
        <v>197</v>
      </c>
    </row>
    <row r="55" spans="1:8" s="13" customFormat="1" ht="14.45" customHeight="1" thickBot="1" x14ac:dyDescent="0.3">
      <c r="A55" s="362"/>
      <c r="B55" s="363"/>
      <c r="C55" s="360" t="s">
        <v>71</v>
      </c>
      <c r="D55" s="361"/>
      <c r="E55" s="34"/>
      <c r="F55" s="171" t="s">
        <v>428</v>
      </c>
      <c r="G55" s="232" t="s">
        <v>428</v>
      </c>
      <c r="H55" s="232" t="s">
        <v>428</v>
      </c>
    </row>
    <row r="56" spans="1:8" s="13" customFormat="1" ht="77.099999999999994" customHeight="1" thickBot="1" x14ac:dyDescent="0.3">
      <c r="A56" s="51" t="s">
        <v>9</v>
      </c>
      <c r="B56" s="28" t="s">
        <v>256</v>
      </c>
      <c r="C56" s="366"/>
      <c r="D56" s="367"/>
      <c r="E56" s="34"/>
      <c r="F56" s="183"/>
      <c r="G56" s="227"/>
      <c r="H56" s="227"/>
    </row>
    <row r="57" spans="1:8" s="13" customFormat="1" ht="28.5" customHeight="1" thickBot="1" x14ac:dyDescent="0.3">
      <c r="A57" s="51" t="s">
        <v>255</v>
      </c>
      <c r="B57" s="28" t="s">
        <v>254</v>
      </c>
      <c r="C57" s="368"/>
      <c r="D57" s="369"/>
      <c r="E57" s="35"/>
      <c r="F57" s="186" t="s">
        <v>429</v>
      </c>
      <c r="G57" s="229" t="s">
        <v>429</v>
      </c>
      <c r="H57" s="229" t="s">
        <v>429</v>
      </c>
    </row>
    <row r="58" spans="1:8" s="13" customFormat="1" x14ac:dyDescent="0.25">
      <c r="A58" s="354" t="s">
        <v>25</v>
      </c>
      <c r="B58" s="356" t="s">
        <v>93</v>
      </c>
      <c r="C58" s="358" t="s">
        <v>72</v>
      </c>
      <c r="D58" s="359"/>
      <c r="E58" s="34"/>
      <c r="F58" s="183" t="s">
        <v>430</v>
      </c>
      <c r="G58" s="227" t="s">
        <v>430</v>
      </c>
      <c r="H58" s="227" t="s">
        <v>430</v>
      </c>
    </row>
    <row r="59" spans="1:8" s="13" customFormat="1" ht="54" customHeight="1" thickBot="1" x14ac:dyDescent="0.3">
      <c r="A59" s="355"/>
      <c r="B59" s="357"/>
      <c r="C59" s="352" t="s">
        <v>73</v>
      </c>
      <c r="D59" s="353"/>
      <c r="E59" s="34"/>
      <c r="F59" s="174">
        <v>240</v>
      </c>
      <c r="G59" s="228">
        <v>240</v>
      </c>
      <c r="H59" s="228">
        <v>240</v>
      </c>
    </row>
    <row r="60" spans="1:8" s="13" customFormat="1" x14ac:dyDescent="0.25">
      <c r="A60" s="354" t="s">
        <v>26</v>
      </c>
      <c r="B60" s="356" t="s">
        <v>253</v>
      </c>
      <c r="C60" s="358" t="s">
        <v>74</v>
      </c>
      <c r="D60" s="359"/>
      <c r="E60" s="34"/>
      <c r="F60" s="183" t="s">
        <v>431</v>
      </c>
      <c r="G60" s="227" t="s">
        <v>431</v>
      </c>
      <c r="H60" s="227" t="s">
        <v>431</v>
      </c>
    </row>
    <row r="61" spans="1:8" s="13" customFormat="1" x14ac:dyDescent="0.25">
      <c r="A61" s="362"/>
      <c r="B61" s="363"/>
      <c r="C61" s="364" t="s">
        <v>75</v>
      </c>
      <c r="D61" s="365"/>
      <c r="E61" s="34"/>
      <c r="F61" s="169">
        <v>3</v>
      </c>
      <c r="G61" s="220">
        <v>3</v>
      </c>
      <c r="H61" s="220">
        <v>3</v>
      </c>
    </row>
    <row r="62" spans="1:8" s="13" customFormat="1" ht="32.25" customHeight="1" thickBot="1" x14ac:dyDescent="0.3">
      <c r="A62" s="355"/>
      <c r="B62" s="357"/>
      <c r="C62" s="352" t="s">
        <v>252</v>
      </c>
      <c r="D62" s="353"/>
      <c r="E62" s="34"/>
      <c r="F62" s="174">
        <v>700</v>
      </c>
      <c r="G62" s="228">
        <v>700</v>
      </c>
      <c r="H62" s="228">
        <v>700</v>
      </c>
    </row>
    <row r="63" spans="1:8" s="13" customFormat="1" ht="13.5" thickBot="1" x14ac:dyDescent="0.3">
      <c r="A63" s="50" t="s">
        <v>44</v>
      </c>
      <c r="B63" s="30" t="s">
        <v>45</v>
      </c>
      <c r="C63" s="368"/>
      <c r="D63" s="369"/>
      <c r="E63" s="35"/>
      <c r="F63" s="186"/>
      <c r="G63" s="233"/>
      <c r="H63" s="233"/>
    </row>
    <row r="64" spans="1:8" s="13" customFormat="1" ht="28.5" customHeight="1" thickBot="1" x14ac:dyDescent="0.3">
      <c r="A64" s="50" t="s">
        <v>44</v>
      </c>
      <c r="B64" s="30" t="s">
        <v>63</v>
      </c>
      <c r="C64" s="368"/>
      <c r="D64" s="369"/>
      <c r="E64" s="35"/>
      <c r="F64" s="186"/>
      <c r="G64" s="233"/>
      <c r="H64" s="233"/>
    </row>
    <row r="65" spans="1:8" s="13" customFormat="1" ht="26.25" thickBot="1" x14ac:dyDescent="0.3">
      <c r="A65" s="50" t="s">
        <v>44</v>
      </c>
      <c r="B65" s="30" t="s">
        <v>64</v>
      </c>
      <c r="C65" s="368"/>
      <c r="D65" s="369"/>
      <c r="E65" s="35"/>
      <c r="F65" s="186"/>
      <c r="G65" s="233"/>
      <c r="H65" s="233"/>
    </row>
    <row r="66" spans="1:8" s="13" customFormat="1" ht="26.25" thickBot="1" x14ac:dyDescent="0.3">
      <c r="A66" s="50" t="s">
        <v>50</v>
      </c>
      <c r="B66" s="30" t="s">
        <v>216</v>
      </c>
      <c r="C66" s="368"/>
      <c r="D66" s="369"/>
      <c r="E66" s="35"/>
      <c r="F66" s="186"/>
      <c r="G66" s="233"/>
      <c r="H66" s="233"/>
    </row>
    <row r="67" spans="1:8" s="13" customFormat="1" ht="15" customHeight="1" thickBot="1" x14ac:dyDescent="0.3">
      <c r="A67" s="50" t="s">
        <v>27</v>
      </c>
      <c r="B67" s="30" t="s">
        <v>215</v>
      </c>
      <c r="C67" s="380" t="s">
        <v>77</v>
      </c>
      <c r="D67" s="381"/>
      <c r="E67" s="34"/>
      <c r="F67" s="184" t="s">
        <v>432</v>
      </c>
      <c r="G67" s="229" t="s">
        <v>432</v>
      </c>
      <c r="H67" s="229" t="s">
        <v>432</v>
      </c>
    </row>
    <row r="68" spans="1:8" s="13" customFormat="1" ht="51.75" thickBot="1" x14ac:dyDescent="0.3">
      <c r="A68" s="50" t="s">
        <v>214</v>
      </c>
      <c r="B68" s="30" t="s">
        <v>213</v>
      </c>
      <c r="C68" s="380"/>
      <c r="D68" s="381"/>
      <c r="E68" s="34"/>
      <c r="F68" s="184"/>
      <c r="G68" s="233"/>
      <c r="H68" s="233"/>
    </row>
    <row r="69" spans="1:8" s="13" customFormat="1" ht="15" customHeight="1" x14ac:dyDescent="0.25">
      <c r="A69" s="354" t="s">
        <v>28</v>
      </c>
      <c r="B69" s="423" t="s">
        <v>251</v>
      </c>
      <c r="C69" s="425" t="s">
        <v>250</v>
      </c>
      <c r="D69" s="359"/>
      <c r="E69" s="34"/>
      <c r="F69" s="183" t="s">
        <v>433</v>
      </c>
      <c r="G69" s="227" t="s">
        <v>433</v>
      </c>
      <c r="H69" s="227" t="s">
        <v>433</v>
      </c>
    </row>
    <row r="70" spans="1:8" s="13" customFormat="1" ht="53.45" customHeight="1" thickBot="1" x14ac:dyDescent="0.3">
      <c r="A70" s="355"/>
      <c r="B70" s="424"/>
      <c r="C70" s="426" t="s">
        <v>249</v>
      </c>
      <c r="D70" s="353"/>
      <c r="E70" s="34"/>
      <c r="F70" s="174" t="s">
        <v>434</v>
      </c>
      <c r="G70" s="228" t="s">
        <v>434</v>
      </c>
      <c r="H70" s="228" t="s">
        <v>434</v>
      </c>
    </row>
    <row r="71" spans="1:8" s="13" customFormat="1" ht="39" thickBot="1" x14ac:dyDescent="0.3">
      <c r="A71" s="50" t="s">
        <v>51</v>
      </c>
      <c r="B71" s="30" t="s">
        <v>212</v>
      </c>
      <c r="C71" s="368"/>
      <c r="D71" s="369"/>
      <c r="E71" s="35"/>
      <c r="F71" s="184"/>
      <c r="G71" s="229"/>
      <c r="H71" s="229"/>
    </row>
    <row r="72" spans="1:8" s="13" customFormat="1" ht="39" thickBot="1" x14ac:dyDescent="0.3">
      <c r="A72" s="50" t="s">
        <v>54</v>
      </c>
      <c r="B72" s="30" t="s">
        <v>80</v>
      </c>
      <c r="C72" s="368"/>
      <c r="D72" s="369"/>
      <c r="E72" s="35"/>
      <c r="F72" s="184"/>
      <c r="G72" s="229"/>
      <c r="H72" s="229"/>
    </row>
    <row r="73" spans="1:8" s="13" customFormat="1" ht="77.099999999999994" customHeight="1" thickBot="1" x14ac:dyDescent="0.3">
      <c r="A73" s="50" t="s">
        <v>29</v>
      </c>
      <c r="B73" s="30" t="s">
        <v>211</v>
      </c>
      <c r="C73" s="368"/>
      <c r="D73" s="369"/>
      <c r="E73" s="35"/>
      <c r="F73" s="184"/>
      <c r="G73" s="229"/>
      <c r="H73" s="229"/>
    </row>
    <row r="74" spans="1:8" s="13" customFormat="1" ht="53.45" customHeight="1" thickBot="1" x14ac:dyDescent="0.3">
      <c r="A74" s="50" t="s">
        <v>31</v>
      </c>
      <c r="B74" s="30" t="s">
        <v>210</v>
      </c>
      <c r="C74" s="380" t="s">
        <v>30</v>
      </c>
      <c r="D74" s="381"/>
      <c r="E74" s="34"/>
      <c r="F74" s="184" t="s">
        <v>435</v>
      </c>
      <c r="G74" s="229" t="s">
        <v>435</v>
      </c>
      <c r="H74" s="229" t="s">
        <v>435</v>
      </c>
    </row>
    <row r="75" spans="1:8" s="13" customFormat="1" ht="26.25" thickBot="1" x14ac:dyDescent="0.3">
      <c r="A75" s="50" t="s">
        <v>55</v>
      </c>
      <c r="B75" s="30" t="s">
        <v>95</v>
      </c>
      <c r="C75" s="368"/>
      <c r="D75" s="369"/>
      <c r="E75" s="35"/>
      <c r="F75" s="184"/>
      <c r="G75" s="229"/>
      <c r="H75" s="229"/>
    </row>
    <row r="76" spans="1:8" s="13" customFormat="1" ht="26.25" thickBot="1" x14ac:dyDescent="0.3">
      <c r="A76" s="50" t="s">
        <v>32</v>
      </c>
      <c r="B76" s="30" t="s">
        <v>96</v>
      </c>
      <c r="C76" s="380" t="s">
        <v>30</v>
      </c>
      <c r="D76" s="381"/>
      <c r="E76" s="34"/>
      <c r="F76" s="184" t="s">
        <v>436</v>
      </c>
      <c r="G76" s="229" t="s">
        <v>436</v>
      </c>
      <c r="H76" s="229" t="s">
        <v>436</v>
      </c>
    </row>
    <row r="77" spans="1:8" s="13" customFormat="1" ht="39" thickBot="1" x14ac:dyDescent="0.3">
      <c r="A77" s="50" t="s">
        <v>56</v>
      </c>
      <c r="B77" s="30" t="s">
        <v>167</v>
      </c>
      <c r="C77" s="368"/>
      <c r="D77" s="369"/>
      <c r="E77" s="35"/>
      <c r="F77" s="184"/>
      <c r="G77" s="229"/>
      <c r="H77" s="229"/>
    </row>
    <row r="78" spans="1:8" s="13" customFormat="1" ht="26.25" thickBot="1" x14ac:dyDescent="0.3">
      <c r="A78" s="50" t="s">
        <v>48</v>
      </c>
      <c r="B78" s="30" t="s">
        <v>47</v>
      </c>
      <c r="C78" s="368"/>
      <c r="D78" s="369"/>
      <c r="E78" s="35"/>
      <c r="F78" s="184"/>
      <c r="G78" s="229"/>
      <c r="H78" s="229"/>
    </row>
    <row r="79" spans="1:8" s="13" customFormat="1" ht="26.25" thickBot="1" x14ac:dyDescent="0.3">
      <c r="A79" s="50" t="s">
        <v>49</v>
      </c>
      <c r="B79" s="30" t="s">
        <v>103</v>
      </c>
      <c r="C79" s="368"/>
      <c r="D79" s="369"/>
      <c r="E79" s="35"/>
      <c r="F79" s="184"/>
      <c r="G79" s="229"/>
      <c r="H79" s="229"/>
    </row>
    <row r="80" spans="1:8" s="13" customFormat="1" ht="26.25" thickBot="1" x14ac:dyDescent="0.3">
      <c r="A80" s="50" t="s">
        <v>46</v>
      </c>
      <c r="B80" s="30" t="s">
        <v>81</v>
      </c>
      <c r="C80" s="368"/>
      <c r="D80" s="369"/>
      <c r="E80" s="35"/>
      <c r="F80" s="184"/>
      <c r="G80" s="229"/>
      <c r="H80" s="229"/>
    </row>
    <row r="81" spans="1:8" ht="13.5" thickBot="1" x14ac:dyDescent="0.25">
      <c r="G81" s="212"/>
      <c r="H81" s="212"/>
    </row>
    <row r="82" spans="1:8" s="17" customFormat="1" ht="18.75" thickBot="1" x14ac:dyDescent="0.3">
      <c r="A82" s="373" t="s">
        <v>168</v>
      </c>
      <c r="B82" s="374"/>
      <c r="C82" s="374"/>
      <c r="D82" s="375"/>
      <c r="E82" s="38"/>
      <c r="F82" s="417" t="s">
        <v>420</v>
      </c>
      <c r="G82" s="418"/>
      <c r="H82" s="419"/>
    </row>
    <row r="83" spans="1:8" s="3" customFormat="1" ht="15" customHeight="1" thickBot="1" x14ac:dyDescent="0.3">
      <c r="A83" s="382" t="s">
        <v>169</v>
      </c>
      <c r="B83" s="383"/>
      <c r="C83" s="383"/>
      <c r="D83" s="384"/>
      <c r="E83" s="39"/>
      <c r="F83" s="216" t="s">
        <v>19</v>
      </c>
      <c r="G83" s="217" t="s">
        <v>248</v>
      </c>
      <c r="H83" s="218" t="s">
        <v>269</v>
      </c>
    </row>
    <row r="84" spans="1:8" s="13" customFormat="1" x14ac:dyDescent="0.25">
      <c r="A84" s="385" t="s">
        <v>83</v>
      </c>
      <c r="B84" s="386"/>
      <c r="C84" s="386"/>
      <c r="D84" s="387"/>
      <c r="E84" s="35"/>
      <c r="F84" s="189">
        <f>-1337.32*('PPI Adj'!D6)</f>
        <v>-1560.6524400000001</v>
      </c>
      <c r="G84" s="189">
        <f>-1337.32*('PPI Adj'!D6)</f>
        <v>-1560.6524400000001</v>
      </c>
      <c r="H84" s="189">
        <f>-1337.32*('PPI Adj'!D6)</f>
        <v>-1560.6524400000001</v>
      </c>
    </row>
    <row r="85" spans="1:8" s="13" customFormat="1" x14ac:dyDescent="0.25">
      <c r="A85" s="388" t="s">
        <v>34</v>
      </c>
      <c r="B85" s="389"/>
      <c r="C85" s="389"/>
      <c r="D85" s="390"/>
      <c r="E85" s="34"/>
      <c r="F85" s="190">
        <f>544.44*('PPI Adj'!D6)</f>
        <v>635.36148000000003</v>
      </c>
      <c r="G85" s="190">
        <f>544.44*('PPI Adj'!D6)</f>
        <v>635.36148000000003</v>
      </c>
      <c r="H85" s="190">
        <f>544.44*('PPI Adj'!D6)</f>
        <v>635.36148000000003</v>
      </c>
    </row>
    <row r="86" spans="1:8" s="13" customFormat="1" x14ac:dyDescent="0.25">
      <c r="A86" s="388" t="s">
        <v>35</v>
      </c>
      <c r="B86" s="389"/>
      <c r="C86" s="389"/>
      <c r="D86" s="390"/>
      <c r="E86" s="35"/>
      <c r="F86" s="190">
        <f>412.37*('PPI Adj'!D6)</f>
        <v>481.23579000000001</v>
      </c>
      <c r="G86" s="190">
        <f>412.37*('PPI Adj'!D6)</f>
        <v>481.23579000000001</v>
      </c>
      <c r="H86" s="190">
        <f>412.37*('PPI Adj'!D6)</f>
        <v>481.23579000000001</v>
      </c>
    </row>
    <row r="87" spans="1:8" s="13" customFormat="1" x14ac:dyDescent="0.25">
      <c r="A87" s="388" t="s">
        <v>36</v>
      </c>
      <c r="B87" s="389"/>
      <c r="C87" s="389"/>
      <c r="D87" s="390"/>
      <c r="E87" s="34"/>
      <c r="F87" s="190">
        <f>1340.82*('PPI Adj'!D6)</f>
        <v>1564.73694</v>
      </c>
      <c r="G87" s="190">
        <f>1340.82*('PPI Adj'!D6)</f>
        <v>1564.73694</v>
      </c>
      <c r="H87" s="190">
        <f>1340.82*('PPI Adj'!D6)</f>
        <v>1564.73694</v>
      </c>
    </row>
    <row r="88" spans="1:8" s="13" customFormat="1" x14ac:dyDescent="0.25">
      <c r="A88" s="388" t="s">
        <v>60</v>
      </c>
      <c r="B88" s="389"/>
      <c r="C88" s="389"/>
      <c r="D88" s="390"/>
      <c r="E88" s="34"/>
      <c r="F88" s="190">
        <f>655.98*('PPI Adj'!D6)</f>
        <v>765.52866000000006</v>
      </c>
      <c r="G88" s="190">
        <f>655.98*('PPI Adj'!D6)</f>
        <v>765.52866000000006</v>
      </c>
      <c r="H88" s="190">
        <f>655.98*('PPI Adj'!D6)</f>
        <v>765.52866000000006</v>
      </c>
    </row>
    <row r="89" spans="1:8" s="13" customFormat="1" x14ac:dyDescent="0.25">
      <c r="A89" s="388" t="s">
        <v>61</v>
      </c>
      <c r="B89" s="389"/>
      <c r="C89" s="389"/>
      <c r="D89" s="390"/>
      <c r="E89" s="34"/>
      <c r="F89" s="190" t="s">
        <v>183</v>
      </c>
      <c r="G89" s="190" t="s">
        <v>183</v>
      </c>
      <c r="H89" s="190" t="s">
        <v>183</v>
      </c>
    </row>
    <row r="90" spans="1:8" s="13" customFormat="1" x14ac:dyDescent="0.25">
      <c r="A90" s="388" t="s">
        <v>86</v>
      </c>
      <c r="B90" s="389"/>
      <c r="C90" s="389"/>
      <c r="D90" s="390"/>
      <c r="E90" s="34"/>
      <c r="F90" s="190">
        <f>1202.76*('PPI Adj'!D6)</f>
        <v>1403.6209200000001</v>
      </c>
      <c r="G90" s="190">
        <f>1202.76*('PPI Adj'!D6)</f>
        <v>1403.6209200000001</v>
      </c>
      <c r="H90" s="190">
        <f>1202.76*('PPI Adj'!D6)</f>
        <v>1403.6209200000001</v>
      </c>
    </row>
    <row r="91" spans="1:8" x14ac:dyDescent="0.2">
      <c r="A91" s="388" t="s">
        <v>85</v>
      </c>
      <c r="B91" s="389"/>
      <c r="C91" s="389"/>
      <c r="D91" s="390"/>
      <c r="E91" s="34"/>
      <c r="F91" s="190">
        <f>2876.45*('PPI Adj'!D6)</f>
        <v>3356.8171499999999</v>
      </c>
      <c r="G91" s="190">
        <f>2876.45*('PPI Adj'!D6)</f>
        <v>3356.8171499999999</v>
      </c>
      <c r="H91" s="190">
        <f>2876.45*('PPI Adj'!D6)</f>
        <v>3356.8171499999999</v>
      </c>
    </row>
    <row r="92" spans="1:8" x14ac:dyDescent="0.2">
      <c r="A92" s="388" t="s">
        <v>13</v>
      </c>
      <c r="B92" s="389"/>
      <c r="C92" s="389"/>
      <c r="D92" s="390"/>
      <c r="E92" s="34"/>
      <c r="F92" s="190">
        <f>6533.28*('PPI Adj'!D6)</f>
        <v>7624.3377600000003</v>
      </c>
      <c r="G92" s="190">
        <f>6533.28*('PPI Adj'!D6)</f>
        <v>7624.3377600000003</v>
      </c>
      <c r="H92" s="190">
        <f>6533.28*('PPI Adj'!D6)</f>
        <v>7624.3377600000003</v>
      </c>
    </row>
    <row r="93" spans="1:8" x14ac:dyDescent="0.2">
      <c r="A93" s="388" t="s">
        <v>37</v>
      </c>
      <c r="B93" s="389"/>
      <c r="C93" s="389"/>
      <c r="D93" s="390"/>
      <c r="E93" s="35"/>
      <c r="F93" s="190">
        <f>97.5*('PPI Adj'!D6)</f>
        <v>113.7825</v>
      </c>
      <c r="G93" s="190">
        <f>97.5*('PPI Adj'!D6)</f>
        <v>113.7825</v>
      </c>
      <c r="H93" s="190">
        <f>97.5*('PPI Adj'!D6)</f>
        <v>113.7825</v>
      </c>
    </row>
    <row r="94" spans="1:8" x14ac:dyDescent="0.2">
      <c r="A94" s="388" t="s">
        <v>38</v>
      </c>
      <c r="B94" s="389"/>
      <c r="C94" s="389"/>
      <c r="D94" s="390"/>
      <c r="E94" s="35"/>
      <c r="F94" s="190">
        <f>397.8*('PPI Adj'!D6)</f>
        <v>464.23260000000005</v>
      </c>
      <c r="G94" s="190">
        <f>397.8*('PPI Adj'!D6)</f>
        <v>464.23260000000005</v>
      </c>
      <c r="H94" s="190">
        <f>397.8*('PPI Adj'!D6)</f>
        <v>464.23260000000005</v>
      </c>
    </row>
    <row r="95" spans="1:8" x14ac:dyDescent="0.2">
      <c r="A95" s="388" t="s">
        <v>201</v>
      </c>
      <c r="B95" s="389"/>
      <c r="C95" s="389"/>
      <c r="D95" s="390"/>
      <c r="E95" s="35"/>
      <c r="F95" s="190" t="s">
        <v>183</v>
      </c>
      <c r="G95" s="190" t="s">
        <v>183</v>
      </c>
      <c r="H95" s="190" t="s">
        <v>183</v>
      </c>
    </row>
    <row r="96" spans="1:8" x14ac:dyDescent="0.2">
      <c r="A96" s="388" t="s">
        <v>39</v>
      </c>
      <c r="B96" s="389"/>
      <c r="C96" s="389"/>
      <c r="D96" s="390"/>
      <c r="E96" s="34"/>
      <c r="F96" s="190">
        <f>723.06*('PPI Adj'!D6)</f>
        <v>843.81101999999998</v>
      </c>
      <c r="G96" s="190">
        <f>723.06*('PPI Adj'!D6)</f>
        <v>843.81101999999998</v>
      </c>
      <c r="H96" s="190">
        <f>723.06*('PPI Adj'!D6)</f>
        <v>843.81101999999998</v>
      </c>
    </row>
    <row r="97" spans="1:8" x14ac:dyDescent="0.2">
      <c r="A97" s="388" t="s">
        <v>88</v>
      </c>
      <c r="B97" s="389"/>
      <c r="C97" s="389"/>
      <c r="D97" s="390"/>
      <c r="E97" s="34"/>
      <c r="F97" s="190">
        <f>3939.22*('PPI Adj'!D6)</f>
        <v>4597.0697399999999</v>
      </c>
      <c r="G97" s="190">
        <f>3939.22*('PPI Adj'!D6)</f>
        <v>4597.0697399999999</v>
      </c>
      <c r="H97" s="190">
        <f>3939.22*('PPI Adj'!D6)</f>
        <v>4597.0697399999999</v>
      </c>
    </row>
    <row r="98" spans="1:8" x14ac:dyDescent="0.2">
      <c r="A98" s="388" t="s">
        <v>40</v>
      </c>
      <c r="B98" s="389"/>
      <c r="C98" s="389"/>
      <c r="D98" s="390"/>
      <c r="E98" s="34"/>
      <c r="F98" s="190">
        <f>421.2*('PPI Adj'!D6)</f>
        <v>491.54039999999998</v>
      </c>
      <c r="G98" s="190">
        <f>421.2*('PPI Adj'!D6)</f>
        <v>491.54039999999998</v>
      </c>
      <c r="H98" s="190">
        <f>421.2*('PPI Adj'!D6)</f>
        <v>491.54039999999998</v>
      </c>
    </row>
    <row r="99" spans="1:8" x14ac:dyDescent="0.2">
      <c r="A99" s="388" t="s">
        <v>14</v>
      </c>
      <c r="B99" s="389"/>
      <c r="C99" s="389"/>
      <c r="D99" s="390"/>
      <c r="E99" s="34"/>
      <c r="F99" s="190">
        <f>5349*('PPI Adj'!D6)</f>
        <v>6242.2830000000004</v>
      </c>
      <c r="G99" s="190">
        <f>5349*('PPI Adj'!D6)</f>
        <v>6242.2830000000004</v>
      </c>
      <c r="H99" s="190">
        <f>5349*('PPI Adj'!D6)</f>
        <v>6242.2830000000004</v>
      </c>
    </row>
    <row r="100" spans="1:8" x14ac:dyDescent="0.2">
      <c r="A100" s="388" t="s">
        <v>91</v>
      </c>
      <c r="B100" s="389"/>
      <c r="C100" s="389"/>
      <c r="D100" s="390"/>
      <c r="E100" s="34"/>
      <c r="F100" s="190">
        <f>1800*('PPI Adj'!D6)</f>
        <v>2100.6</v>
      </c>
      <c r="G100" s="190">
        <f>1800*('PPI Adj'!D6)</f>
        <v>2100.6</v>
      </c>
      <c r="H100" s="190">
        <f>1800*('PPI Adj'!D6)</f>
        <v>2100.6</v>
      </c>
    </row>
    <row r="101" spans="1:8" x14ac:dyDescent="0.2">
      <c r="A101" s="394" t="s">
        <v>275</v>
      </c>
      <c r="B101" s="395"/>
      <c r="C101" s="395"/>
      <c r="D101" s="396"/>
      <c r="E101" s="34"/>
      <c r="F101" s="200">
        <f>-413.21*('PPI Adj'!D6)</f>
        <v>-482.21607</v>
      </c>
      <c r="G101" s="200">
        <f>-413.21*('PPI Adj'!D6)</f>
        <v>-482.21607</v>
      </c>
      <c r="H101" s="200">
        <f>-413.21*('PPI Adj'!D6)</f>
        <v>-482.21607</v>
      </c>
    </row>
    <row r="102" spans="1:8" ht="15.6" customHeight="1" thickBot="1" x14ac:dyDescent="0.25">
      <c r="A102" s="391" t="s">
        <v>92</v>
      </c>
      <c r="B102" s="392"/>
      <c r="C102" s="392"/>
      <c r="D102" s="393"/>
      <c r="E102" s="35"/>
      <c r="F102" s="191">
        <f>1013.03*('PPI Adj'!D6)</f>
        <v>1182.2060100000001</v>
      </c>
      <c r="G102" s="191">
        <f>1013.03*('PPI Adj'!D6)</f>
        <v>1182.2060100000001</v>
      </c>
      <c r="H102" s="191">
        <f>1013.03*('PPI Adj'!D6)</f>
        <v>1182.2060100000001</v>
      </c>
    </row>
    <row r="103" spans="1:8" ht="13.5" thickBot="1" x14ac:dyDescent="0.25">
      <c r="F103" s="175"/>
      <c r="G103" s="234"/>
      <c r="H103" s="234"/>
    </row>
    <row r="104" spans="1:8" s="17" customFormat="1" ht="18.75" thickBot="1" x14ac:dyDescent="0.3">
      <c r="A104" s="373" t="s">
        <v>166</v>
      </c>
      <c r="B104" s="374"/>
      <c r="C104" s="374"/>
      <c r="D104" s="375"/>
      <c r="E104" s="38"/>
      <c r="F104" s="417" t="s">
        <v>420</v>
      </c>
      <c r="G104" s="418"/>
      <c r="H104" s="419"/>
    </row>
    <row r="105" spans="1:8" s="3" customFormat="1" ht="26.25" thickBot="1" x14ac:dyDescent="0.3">
      <c r="A105" s="52" t="s">
        <v>33</v>
      </c>
      <c r="B105" s="24" t="s">
        <v>7</v>
      </c>
      <c r="C105" s="397" t="s">
        <v>165</v>
      </c>
      <c r="D105" s="398"/>
      <c r="E105" s="39"/>
      <c r="F105" s="216" t="s">
        <v>19</v>
      </c>
      <c r="G105" s="217" t="s">
        <v>248</v>
      </c>
      <c r="H105" s="218" t="s">
        <v>269</v>
      </c>
    </row>
    <row r="106" spans="1:8" s="13" customFormat="1" ht="39" thickBot="1" x14ac:dyDescent="0.3">
      <c r="A106" s="53" t="s">
        <v>83</v>
      </c>
      <c r="B106" s="23" t="s">
        <v>146</v>
      </c>
      <c r="C106" s="399"/>
      <c r="D106" s="400"/>
      <c r="E106" s="35"/>
      <c r="F106" s="184" t="s">
        <v>438</v>
      </c>
      <c r="G106" s="184" t="s">
        <v>438</v>
      </c>
      <c r="H106" s="184" t="s">
        <v>438</v>
      </c>
    </row>
    <row r="107" spans="1:8" s="13" customFormat="1" ht="26.25" thickBot="1" x14ac:dyDescent="0.3">
      <c r="A107" s="50" t="s">
        <v>34</v>
      </c>
      <c r="B107" s="30" t="s">
        <v>107</v>
      </c>
      <c r="C107" s="380" t="s">
        <v>30</v>
      </c>
      <c r="D107" s="381"/>
      <c r="E107" s="34"/>
      <c r="F107" s="184" t="s">
        <v>439</v>
      </c>
      <c r="G107" s="184" t="s">
        <v>439</v>
      </c>
      <c r="H107" s="184" t="s">
        <v>439</v>
      </c>
    </row>
    <row r="108" spans="1:8" s="13" customFormat="1" ht="54" customHeight="1" thickBot="1" x14ac:dyDescent="0.3">
      <c r="A108" s="50" t="s">
        <v>35</v>
      </c>
      <c r="B108" s="30" t="s">
        <v>97</v>
      </c>
      <c r="C108" s="368"/>
      <c r="D108" s="369"/>
      <c r="E108" s="35"/>
      <c r="F108" s="184" t="s">
        <v>440</v>
      </c>
      <c r="G108" s="184" t="s">
        <v>440</v>
      </c>
      <c r="H108" s="184" t="s">
        <v>440</v>
      </c>
    </row>
    <row r="109" spans="1:8" s="13" customFormat="1" ht="26.25" thickBot="1" x14ac:dyDescent="0.3">
      <c r="A109" s="50" t="s">
        <v>36</v>
      </c>
      <c r="B109" s="30" t="s">
        <v>84</v>
      </c>
      <c r="C109" s="380" t="s">
        <v>99</v>
      </c>
      <c r="D109" s="381"/>
      <c r="E109" s="34"/>
      <c r="F109" s="184" t="s">
        <v>441</v>
      </c>
      <c r="G109" s="184" t="s">
        <v>441</v>
      </c>
      <c r="H109" s="184" t="s">
        <v>441</v>
      </c>
    </row>
    <row r="110" spans="1:8" s="13" customFormat="1" ht="12.75" customHeight="1" x14ac:dyDescent="0.25">
      <c r="A110" s="354" t="s">
        <v>60</v>
      </c>
      <c r="B110" s="356" t="s">
        <v>133</v>
      </c>
      <c r="C110" s="358" t="s">
        <v>203</v>
      </c>
      <c r="D110" s="359"/>
      <c r="E110" s="34"/>
      <c r="F110" s="183" t="s">
        <v>278</v>
      </c>
      <c r="G110" s="183" t="s">
        <v>278</v>
      </c>
      <c r="H110" s="183" t="s">
        <v>278</v>
      </c>
    </row>
    <row r="111" spans="1:8" s="13" customFormat="1" x14ac:dyDescent="0.25">
      <c r="A111" s="362"/>
      <c r="B111" s="363"/>
      <c r="C111" s="364" t="s">
        <v>202</v>
      </c>
      <c r="D111" s="365"/>
      <c r="E111" s="34"/>
      <c r="F111" s="169">
        <v>6005</v>
      </c>
      <c r="G111" s="169">
        <v>6005</v>
      </c>
      <c r="H111" s="169">
        <v>6005</v>
      </c>
    </row>
    <row r="112" spans="1:8" s="13" customFormat="1" x14ac:dyDescent="0.25">
      <c r="A112" s="362"/>
      <c r="B112" s="363"/>
      <c r="C112" s="364" t="s">
        <v>114</v>
      </c>
      <c r="D112" s="365"/>
      <c r="E112" s="34"/>
      <c r="F112" s="169" t="s">
        <v>442</v>
      </c>
      <c r="G112" s="169" t="s">
        <v>442</v>
      </c>
      <c r="H112" s="169" t="s">
        <v>442</v>
      </c>
    </row>
    <row r="113" spans="1:8" s="13" customFormat="1" ht="30.75" customHeight="1" thickBot="1" x14ac:dyDescent="0.3">
      <c r="A113" s="355"/>
      <c r="B113" s="357"/>
      <c r="C113" s="352" t="s">
        <v>115</v>
      </c>
      <c r="D113" s="353"/>
      <c r="E113" s="34"/>
      <c r="F113" s="174" t="s">
        <v>443</v>
      </c>
      <c r="G113" s="174" t="s">
        <v>443</v>
      </c>
      <c r="H113" s="174" t="s">
        <v>443</v>
      </c>
    </row>
    <row r="114" spans="1:8" s="13" customFormat="1" ht="12.75" customHeight="1" x14ac:dyDescent="0.25">
      <c r="A114" s="354" t="s">
        <v>61</v>
      </c>
      <c r="B114" s="356" t="s">
        <v>206</v>
      </c>
      <c r="C114" s="358" t="s">
        <v>205</v>
      </c>
      <c r="D114" s="359"/>
      <c r="E114" s="34"/>
      <c r="F114" s="183"/>
      <c r="G114" s="183"/>
      <c r="H114" s="183"/>
    </row>
    <row r="115" spans="1:8" s="13" customFormat="1" x14ac:dyDescent="0.25">
      <c r="A115" s="362"/>
      <c r="B115" s="363"/>
      <c r="C115" s="364" t="s">
        <v>204</v>
      </c>
      <c r="D115" s="365"/>
      <c r="E115" s="34"/>
      <c r="F115" s="185"/>
      <c r="G115" s="185"/>
      <c r="H115" s="185"/>
    </row>
    <row r="116" spans="1:8" s="13" customFormat="1" x14ac:dyDescent="0.25">
      <c r="A116" s="362"/>
      <c r="B116" s="363"/>
      <c r="C116" s="364" t="s">
        <v>203</v>
      </c>
      <c r="D116" s="365"/>
      <c r="E116" s="34"/>
      <c r="F116" s="185"/>
      <c r="G116" s="185"/>
      <c r="H116" s="185"/>
    </row>
    <row r="117" spans="1:8" s="13" customFormat="1" x14ac:dyDescent="0.25">
      <c r="A117" s="362"/>
      <c r="B117" s="363"/>
      <c r="C117" s="364" t="s">
        <v>202</v>
      </c>
      <c r="D117" s="365"/>
      <c r="E117" s="34"/>
      <c r="F117" s="169"/>
      <c r="G117" s="169"/>
      <c r="H117" s="169"/>
    </row>
    <row r="118" spans="1:8" s="13" customFormat="1" x14ac:dyDescent="0.25">
      <c r="A118" s="362"/>
      <c r="B118" s="363"/>
      <c r="C118" s="364" t="s">
        <v>112</v>
      </c>
      <c r="D118" s="365"/>
      <c r="E118" s="34"/>
      <c r="F118" s="169"/>
      <c r="G118" s="169"/>
      <c r="H118" s="169"/>
    </row>
    <row r="119" spans="1:8" s="13" customFormat="1" x14ac:dyDescent="0.25">
      <c r="A119" s="362"/>
      <c r="B119" s="363"/>
      <c r="C119" s="364" t="s">
        <v>113</v>
      </c>
      <c r="D119" s="365"/>
      <c r="E119" s="34"/>
      <c r="F119" s="185"/>
      <c r="G119" s="185"/>
      <c r="H119" s="185"/>
    </row>
    <row r="120" spans="1:8" s="13" customFormat="1" x14ac:dyDescent="0.25">
      <c r="A120" s="362"/>
      <c r="B120" s="363"/>
      <c r="C120" s="364" t="s">
        <v>114</v>
      </c>
      <c r="D120" s="365"/>
      <c r="E120" s="34"/>
      <c r="F120" s="185"/>
      <c r="G120" s="185"/>
      <c r="H120" s="185"/>
    </row>
    <row r="121" spans="1:8" s="13" customFormat="1" ht="14.1" customHeight="1" thickBot="1" x14ac:dyDescent="0.3">
      <c r="A121" s="355"/>
      <c r="B121" s="357"/>
      <c r="C121" s="352" t="s">
        <v>115</v>
      </c>
      <c r="D121" s="353"/>
      <c r="E121" s="34"/>
      <c r="F121" s="174"/>
      <c r="G121" s="174"/>
      <c r="H121" s="174"/>
    </row>
    <row r="122" spans="1:8" s="13" customFormat="1" ht="144.94999999999999" customHeight="1" thickBot="1" x14ac:dyDescent="0.3">
      <c r="A122" s="54" t="s">
        <v>86</v>
      </c>
      <c r="B122" s="18" t="s">
        <v>143</v>
      </c>
      <c r="C122" s="380" t="s">
        <v>104</v>
      </c>
      <c r="D122" s="381"/>
      <c r="E122" s="34"/>
      <c r="F122" s="183" t="s">
        <v>444</v>
      </c>
      <c r="G122" s="183" t="s">
        <v>444</v>
      </c>
      <c r="H122" s="183" t="s">
        <v>444</v>
      </c>
    </row>
    <row r="123" spans="1:8" ht="170.1" customHeight="1" thickBot="1" x14ac:dyDescent="0.25">
      <c r="A123" s="50" t="s">
        <v>85</v>
      </c>
      <c r="B123" s="14" t="s">
        <v>170</v>
      </c>
      <c r="C123" s="380" t="s">
        <v>104</v>
      </c>
      <c r="D123" s="381"/>
      <c r="E123" s="34"/>
      <c r="F123" s="184" t="s">
        <v>445</v>
      </c>
      <c r="G123" s="184" t="s">
        <v>445</v>
      </c>
      <c r="H123" s="184" t="s">
        <v>445</v>
      </c>
    </row>
    <row r="124" spans="1:8" x14ac:dyDescent="0.2">
      <c r="A124" s="354" t="s">
        <v>13</v>
      </c>
      <c r="B124" s="356" t="s">
        <v>98</v>
      </c>
      <c r="C124" s="358" t="s">
        <v>30</v>
      </c>
      <c r="D124" s="359"/>
      <c r="E124" s="34"/>
      <c r="F124" s="183" t="s">
        <v>446</v>
      </c>
      <c r="G124" s="183" t="s">
        <v>446</v>
      </c>
      <c r="H124" s="183" t="s">
        <v>446</v>
      </c>
    </row>
    <row r="125" spans="1:8" ht="27.95" customHeight="1" thickBot="1" x14ac:dyDescent="0.25">
      <c r="A125" s="355"/>
      <c r="B125" s="357"/>
      <c r="C125" s="352" t="s">
        <v>109</v>
      </c>
      <c r="D125" s="353"/>
      <c r="E125" s="34"/>
      <c r="F125" s="174">
        <v>1000</v>
      </c>
      <c r="G125" s="174">
        <v>1000</v>
      </c>
      <c r="H125" s="174">
        <v>1000</v>
      </c>
    </row>
    <row r="126" spans="1:8" ht="66" customHeight="1" thickBot="1" x14ac:dyDescent="0.25">
      <c r="A126" s="50" t="s">
        <v>37</v>
      </c>
      <c r="B126" s="30" t="s">
        <v>135</v>
      </c>
      <c r="C126" s="368"/>
      <c r="D126" s="369"/>
      <c r="E126" s="35"/>
      <c r="F126" s="184" t="s">
        <v>447</v>
      </c>
      <c r="G126" s="184" t="s">
        <v>447</v>
      </c>
      <c r="H126" s="184" t="s">
        <v>447</v>
      </c>
    </row>
    <row r="127" spans="1:8" ht="40.5" customHeight="1" thickBot="1" x14ac:dyDescent="0.25">
      <c r="A127" s="50" t="s">
        <v>38</v>
      </c>
      <c r="B127" s="30" t="s">
        <v>87</v>
      </c>
      <c r="C127" s="368"/>
      <c r="D127" s="369"/>
      <c r="E127" s="35"/>
      <c r="F127" s="184"/>
      <c r="G127" s="184"/>
      <c r="H127" s="184"/>
    </row>
    <row r="128" spans="1:8" ht="14.25" customHeight="1" thickBot="1" x14ac:dyDescent="0.25">
      <c r="A128" s="50" t="s">
        <v>201</v>
      </c>
      <c r="B128" s="30" t="s">
        <v>200</v>
      </c>
      <c r="C128" s="380"/>
      <c r="D128" s="381"/>
      <c r="E128" s="34"/>
      <c r="F128" s="184"/>
      <c r="G128" s="184"/>
      <c r="H128" s="184"/>
    </row>
    <row r="129" spans="1:8" ht="27" customHeight="1" thickBot="1" x14ac:dyDescent="0.25">
      <c r="A129" s="50" t="s">
        <v>39</v>
      </c>
      <c r="B129" s="30" t="s">
        <v>106</v>
      </c>
      <c r="C129" s="380" t="s">
        <v>105</v>
      </c>
      <c r="D129" s="381"/>
      <c r="E129" s="34"/>
      <c r="F129" s="184" t="s">
        <v>184</v>
      </c>
      <c r="G129" s="184" t="s">
        <v>184</v>
      </c>
      <c r="H129" s="184" t="s">
        <v>184</v>
      </c>
    </row>
    <row r="130" spans="1:8" ht="15" customHeight="1" x14ac:dyDescent="0.2">
      <c r="A130" s="354" t="s">
        <v>88</v>
      </c>
      <c r="B130" s="356" t="s">
        <v>148</v>
      </c>
      <c r="C130" s="358" t="s">
        <v>100</v>
      </c>
      <c r="D130" s="359"/>
      <c r="E130" s="34"/>
      <c r="F130" s="183" t="s">
        <v>448</v>
      </c>
      <c r="G130" s="183" t="s">
        <v>448</v>
      </c>
      <c r="H130" s="183" t="s">
        <v>448</v>
      </c>
    </row>
    <row r="131" spans="1:8" ht="108" customHeight="1" thickBot="1" x14ac:dyDescent="0.25">
      <c r="A131" s="355"/>
      <c r="B131" s="357"/>
      <c r="C131" s="352" t="s">
        <v>110</v>
      </c>
      <c r="D131" s="353"/>
      <c r="E131" s="34"/>
      <c r="F131" s="201" t="s">
        <v>449</v>
      </c>
      <c r="G131" s="201" t="s">
        <v>449</v>
      </c>
      <c r="H131" s="201" t="s">
        <v>449</v>
      </c>
    </row>
    <row r="132" spans="1:8" ht="39" thickBot="1" x14ac:dyDescent="0.25">
      <c r="A132" s="50" t="s">
        <v>40</v>
      </c>
      <c r="B132" s="30" t="s">
        <v>137</v>
      </c>
      <c r="C132" s="380" t="s">
        <v>100</v>
      </c>
      <c r="D132" s="381"/>
      <c r="E132" s="34"/>
      <c r="F132" s="174" t="s">
        <v>450</v>
      </c>
      <c r="G132" s="174" t="s">
        <v>450</v>
      </c>
      <c r="H132" s="174" t="s">
        <v>450</v>
      </c>
    </row>
    <row r="133" spans="1:8" ht="54.6" customHeight="1" thickBot="1" x14ac:dyDescent="0.25">
      <c r="A133" s="50" t="s">
        <v>14</v>
      </c>
      <c r="B133" s="30" t="s">
        <v>138</v>
      </c>
      <c r="C133" s="380" t="s">
        <v>139</v>
      </c>
      <c r="D133" s="381"/>
      <c r="E133" s="34"/>
      <c r="F133" s="184">
        <v>1</v>
      </c>
      <c r="G133" s="184">
        <v>1</v>
      </c>
      <c r="H133" s="184">
        <v>1</v>
      </c>
    </row>
    <row r="134" spans="1:8" ht="64.5" customHeight="1" thickBot="1" x14ac:dyDescent="0.25">
      <c r="A134" s="50" t="s">
        <v>91</v>
      </c>
      <c r="B134" s="30" t="s">
        <v>144</v>
      </c>
      <c r="C134" s="380" t="s">
        <v>100</v>
      </c>
      <c r="D134" s="381"/>
      <c r="E134" s="34"/>
      <c r="F134" s="184" t="s">
        <v>359</v>
      </c>
      <c r="G134" s="184" t="s">
        <v>359</v>
      </c>
      <c r="H134" s="184" t="s">
        <v>359</v>
      </c>
    </row>
    <row r="135" spans="1:8" ht="68.45" customHeight="1" thickBot="1" x14ac:dyDescent="0.25">
      <c r="A135" s="50" t="s">
        <v>92</v>
      </c>
      <c r="B135" s="30" t="s">
        <v>145</v>
      </c>
      <c r="C135" s="368"/>
      <c r="D135" s="369"/>
      <c r="E135" s="35"/>
      <c r="F135" s="184"/>
      <c r="G135" s="184"/>
      <c r="H135" s="184"/>
    </row>
  </sheetData>
  <sheetProtection algorithmName="SHA-512" hashValue="i5R6ExGuUeTtZdffUGrP0vijexbOKbw1yS35Ppxtqo+G0o4BsJal9+80NKCdLi7GJH+iRDs4oAuhnoMxwC7sdQ==" saltValue="Bt33N7X6Gaqt/Hzf20Ogew==" spinCount="100000" sheet="1" objects="1" scenarios="1"/>
  <dataConsolidate/>
  <mergeCells count="159">
    <mergeCell ref="C71:D71"/>
    <mergeCell ref="C72:D72"/>
    <mergeCell ref="C73:D73"/>
    <mergeCell ref="C74:D74"/>
    <mergeCell ref="C75:D75"/>
    <mergeCell ref="C76:D76"/>
    <mergeCell ref="A84:D84"/>
    <mergeCell ref="A85:D85"/>
    <mergeCell ref="C77:D77"/>
    <mergeCell ref="C78:D78"/>
    <mergeCell ref="C79:D79"/>
    <mergeCell ref="C80:D80"/>
    <mergeCell ref="A82:D82"/>
    <mergeCell ref="A97:D97"/>
    <mergeCell ref="A98:D98"/>
    <mergeCell ref="A99:D99"/>
    <mergeCell ref="A100:D100"/>
    <mergeCell ref="A101:D101"/>
    <mergeCell ref="C109:D109"/>
    <mergeCell ref="B110:B113"/>
    <mergeCell ref="C110:D110"/>
    <mergeCell ref="A86:D86"/>
    <mergeCell ref="A87:D87"/>
    <mergeCell ref="A88:D88"/>
    <mergeCell ref="A89:D89"/>
    <mergeCell ref="A90:D90"/>
    <mergeCell ref="A91:D91"/>
    <mergeCell ref="C114:D114"/>
    <mergeCell ref="C115:D115"/>
    <mergeCell ref="C116:D116"/>
    <mergeCell ref="A110:A113"/>
    <mergeCell ref="A124:A125"/>
    <mergeCell ref="B124:B125"/>
    <mergeCell ref="C124:D124"/>
    <mergeCell ref="C125:D125"/>
    <mergeCell ref="C63:D63"/>
    <mergeCell ref="A83:D83"/>
    <mergeCell ref="C68:D68"/>
    <mergeCell ref="C70:D70"/>
    <mergeCell ref="A102:D102"/>
    <mergeCell ref="C111:D111"/>
    <mergeCell ref="C112:D112"/>
    <mergeCell ref="C113:D113"/>
    <mergeCell ref="C105:D105"/>
    <mergeCell ref="C106:D106"/>
    <mergeCell ref="C107:D107"/>
    <mergeCell ref="A104:D104"/>
    <mergeCell ref="A92:D92"/>
    <mergeCell ref="A93:D93"/>
    <mergeCell ref="A94:D94"/>
    <mergeCell ref="A96:D96"/>
    <mergeCell ref="C52:D52"/>
    <mergeCell ref="C128:D128"/>
    <mergeCell ref="A95:D95"/>
    <mergeCell ref="C135:D135"/>
    <mergeCell ref="C126:D126"/>
    <mergeCell ref="C127:D127"/>
    <mergeCell ref="C129:D129"/>
    <mergeCell ref="A130:A131"/>
    <mergeCell ref="B130:B131"/>
    <mergeCell ref="C130:D130"/>
    <mergeCell ref="C131:D131"/>
    <mergeCell ref="C122:D122"/>
    <mergeCell ref="C117:D117"/>
    <mergeCell ref="C118:D118"/>
    <mergeCell ref="C119:D119"/>
    <mergeCell ref="C132:D132"/>
    <mergeCell ref="C133:D133"/>
    <mergeCell ref="C134:D134"/>
    <mergeCell ref="C120:D120"/>
    <mergeCell ref="C121:D121"/>
    <mergeCell ref="C108:D108"/>
    <mergeCell ref="C123:D123"/>
    <mergeCell ref="A114:A121"/>
    <mergeCell ref="B114:B121"/>
    <mergeCell ref="C45:D45"/>
    <mergeCell ref="C46:D46"/>
    <mergeCell ref="C47:D47"/>
    <mergeCell ref="C48:D48"/>
    <mergeCell ref="C49:D49"/>
    <mergeCell ref="C50:D50"/>
    <mergeCell ref="C51:D51"/>
    <mergeCell ref="A41:A43"/>
    <mergeCell ref="B41:B43"/>
    <mergeCell ref="C41:D41"/>
    <mergeCell ref="C42:D42"/>
    <mergeCell ref="C43:D43"/>
    <mergeCell ref="C44:D44"/>
    <mergeCell ref="A60:A62"/>
    <mergeCell ref="B60:B62"/>
    <mergeCell ref="C60:D60"/>
    <mergeCell ref="C61:D61"/>
    <mergeCell ref="C62:D62"/>
    <mergeCell ref="B69:B70"/>
    <mergeCell ref="C57:D57"/>
    <mergeCell ref="C58:D58"/>
    <mergeCell ref="C59:D59"/>
    <mergeCell ref="C64:D64"/>
    <mergeCell ref="C65:D65"/>
    <mergeCell ref="C66:D66"/>
    <mergeCell ref="C67:D67"/>
    <mergeCell ref="C69:D69"/>
    <mergeCell ref="A53:A55"/>
    <mergeCell ref="B53:B55"/>
    <mergeCell ref="C53:D53"/>
    <mergeCell ref="C54:D54"/>
    <mergeCell ref="C55:D55"/>
    <mergeCell ref="C56:D56"/>
    <mergeCell ref="A58:A59"/>
    <mergeCell ref="B58:B59"/>
    <mergeCell ref="F6:H6"/>
    <mergeCell ref="F19:H19"/>
    <mergeCell ref="A38:A39"/>
    <mergeCell ref="B38:B39"/>
    <mergeCell ref="C38:D38"/>
    <mergeCell ref="C39:D39"/>
    <mergeCell ref="A30:A34"/>
    <mergeCell ref="B30:B34"/>
    <mergeCell ref="C30:D30"/>
    <mergeCell ref="C31:D31"/>
    <mergeCell ref="C32:D32"/>
    <mergeCell ref="C33:D33"/>
    <mergeCell ref="F24:H24"/>
    <mergeCell ref="C40:D40"/>
    <mergeCell ref="A45:A52"/>
    <mergeCell ref="B45:B52"/>
    <mergeCell ref="A3:D3"/>
    <mergeCell ref="A4:D4"/>
    <mergeCell ref="A6:D6"/>
    <mergeCell ref="A19:D19"/>
    <mergeCell ref="B17:D17"/>
    <mergeCell ref="B8:D8"/>
    <mergeCell ref="B9:D9"/>
    <mergeCell ref="B10:D10"/>
    <mergeCell ref="B11:D11"/>
    <mergeCell ref="F82:H82"/>
    <mergeCell ref="F104:H104"/>
    <mergeCell ref="B21:D21"/>
    <mergeCell ref="B12:D12"/>
    <mergeCell ref="B13:D13"/>
    <mergeCell ref="B14:D14"/>
    <mergeCell ref="B15:D15"/>
    <mergeCell ref="B16:D16"/>
    <mergeCell ref="B22:D22"/>
    <mergeCell ref="A24:D24"/>
    <mergeCell ref="C25:D25"/>
    <mergeCell ref="A36:A37"/>
    <mergeCell ref="B36:B37"/>
    <mergeCell ref="C36:D36"/>
    <mergeCell ref="C37:D37"/>
    <mergeCell ref="C34:D34"/>
    <mergeCell ref="C35:D35"/>
    <mergeCell ref="C26:D26"/>
    <mergeCell ref="A27:A28"/>
    <mergeCell ref="B27:B28"/>
    <mergeCell ref="C27:D27"/>
    <mergeCell ref="C28:D28"/>
    <mergeCell ref="C29:D29"/>
    <mergeCell ref="A69:A70"/>
  </mergeCells>
  <conditionalFormatting sqref="C56 C65">
    <cfRule type="expression" dxfId="248" priority="135">
      <formula>#REF!="NO"</formula>
    </cfRule>
  </conditionalFormatting>
  <conditionalFormatting sqref="C41:D43">
    <cfRule type="expression" dxfId="247" priority="122">
      <formula>$F$2="NO"</formula>
    </cfRule>
  </conditionalFormatting>
  <conditionalFormatting sqref="C26:E40">
    <cfRule type="expression" dxfId="246" priority="124">
      <formula>#REF!="NO"</formula>
    </cfRule>
  </conditionalFormatting>
  <conditionalFormatting sqref="C44:E80">
    <cfRule type="expression" dxfId="245" priority="121">
      <formula>#REF!="NO"</formula>
    </cfRule>
  </conditionalFormatting>
  <conditionalFormatting sqref="C106:H135">
    <cfRule type="expression" dxfId="244" priority="1">
      <formula>#REF!="NO"</formula>
    </cfRule>
  </conditionalFormatting>
  <conditionalFormatting sqref="E41:E43">
    <cfRule type="expression" dxfId="243" priority="123">
      <formula>#REF!="NO"</formula>
    </cfRule>
  </conditionalFormatting>
  <conditionalFormatting sqref="E84:H102">
    <cfRule type="expression" dxfId="242" priority="99">
      <formula>#REF!="NO"</formula>
    </cfRule>
  </conditionalFormatting>
  <conditionalFormatting sqref="F8:F17">
    <cfRule type="expression" dxfId="241" priority="116">
      <formula>#REF!="NO"</formula>
    </cfRule>
  </conditionalFormatting>
  <conditionalFormatting sqref="F26:F80">
    <cfRule type="expression" dxfId="240" priority="100">
      <formula>#REF!="NO"</formula>
    </cfRule>
  </conditionalFormatting>
  <conditionalFormatting sqref="F21:H22">
    <cfRule type="expression" dxfId="239" priority="46">
      <formula>#REF!="NO"</formula>
    </cfRule>
  </conditionalFormatting>
  <conditionalFormatting sqref="G8:H8">
    <cfRule type="expression" dxfId="238" priority="52">
      <formula>$F$2="NO"</formula>
    </cfRule>
  </conditionalFormatting>
  <conditionalFormatting sqref="G9:H9">
    <cfRule type="expression" dxfId="237" priority="50">
      <formula>#REF!="NO"</formula>
    </cfRule>
  </conditionalFormatting>
  <conditionalFormatting sqref="G10:H17">
    <cfRule type="expression" dxfId="236" priority="53">
      <formula>$F$2="NO"</formula>
    </cfRule>
  </conditionalFormatting>
  <conditionalFormatting sqref="G21:H22">
    <cfRule type="expression" dxfId="235" priority="45">
      <formula>$F$2="NO"</formula>
    </cfRule>
  </conditionalFormatting>
  <conditionalFormatting sqref="G26:H26">
    <cfRule type="expression" dxfId="234" priority="33">
      <formula>#REF!="NO"</formula>
    </cfRule>
  </conditionalFormatting>
  <conditionalFormatting sqref="G27:H80">
    <cfRule type="expression" dxfId="233" priority="34">
      <formula>$F$2="NO"</formula>
    </cfRule>
  </conditionalFormatting>
  <conditionalFormatting sqref="G56:H57">
    <cfRule type="expression" dxfId="232" priority="37">
      <formula>#REF!="NO"</formula>
    </cfRule>
  </conditionalFormatting>
  <conditionalFormatting sqref="G65:H65">
    <cfRule type="expression" dxfId="231" priority="43">
      <formula>#REF!="NO"</formula>
    </cfRule>
  </conditionalFormatting>
  <dataValidations count="3">
    <dataValidation type="decimal" allowBlank="1" showInputMessage="1" showErrorMessage="1" error="The Additional Options NYS Discount entered must be greater than 0%, or less than or equal to 100%." sqref="F22:H22" xr:uid="{00000000-0002-0000-0100-000002000000}">
      <formula1>0.01</formula1>
      <formula2>100</formula2>
    </dataValidation>
    <dataValidation type="decimal" allowBlank="1" showInputMessage="1" showErrorMessage="1" error="Invalid Entry - Bidder must enter a value that is greater than $0" sqref="F21:H21" xr:uid="{00000000-0002-0000-0100-000001000000}">
      <formula1>0</formula1>
      <formula2>9E+21</formula2>
    </dataValidation>
    <dataValidation type="decimal" operator="greaterThanOrEqual" allowBlank="1" showInputMessage="1" showErrorMessage="1" error="The Pickup Allowance cannot be a negative number." sqref="F16:H16" xr:uid="{00000000-0002-0000-0100-000000000000}">
      <formula1>0</formula1>
    </dataValidation>
  </dataValidations>
  <pageMargins left="0.25" right="0.25" top="0.5" bottom="0.25" header="0.3" footer="0.3"/>
  <pageSetup scale="72" fitToHeight="0" orientation="landscape" r:id="rId1"/>
  <rowBreaks count="2" manualBreakCount="2">
    <brk id="57" max="6" man="1"/>
    <brk id="75"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47677-1B49-4622-AEA4-350A4AF0ADC6}">
  <sheetPr>
    <tabColor theme="5" tint="0.59999389629810485"/>
    <pageSetUpPr autoPageBreaks="0" fitToPage="1"/>
  </sheetPr>
  <dimension ref="A1:I130"/>
  <sheetViews>
    <sheetView showGridLines="0" zoomScaleNormal="100" zoomScaleSheetLayoutView="8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2" style="2" customWidth="1"/>
    <col min="5" max="5" width="2.7109375" style="2" customWidth="1"/>
    <col min="6" max="6" width="21.28515625" style="187" customWidth="1"/>
    <col min="7" max="8" width="21.28515625" style="2" customWidth="1"/>
    <col min="9" max="16384" width="9.140625" style="2"/>
  </cols>
  <sheetData>
    <row r="1" spans="1:9" ht="18" customHeight="1" x14ac:dyDescent="0.2">
      <c r="A1" s="165" t="str">
        <f>'A (Item 2-G)'!$A$1</f>
        <v>GROUP 40524-23254, SCHOOL BUSES (Statewide)                                                             Attachment 1 - Specifications and Pricing (Revised October 15, 2026)</v>
      </c>
      <c r="F1" s="210"/>
    </row>
    <row r="2" spans="1:9" s="25" customFormat="1" ht="18" customHeight="1" thickBot="1" x14ac:dyDescent="0.3">
      <c r="A2" s="316" t="str">
        <f>'[1]Attachment 1 - Summary'!B2</f>
        <v>PC69864 New York Bus Sales, LLC</v>
      </c>
      <c r="B2" s="26"/>
      <c r="C2" s="26"/>
      <c r="D2" s="26"/>
      <c r="E2" s="26"/>
      <c r="F2" s="314"/>
    </row>
    <row r="3" spans="1:9" ht="24" thickBot="1" x14ac:dyDescent="0.25">
      <c r="A3" s="420" t="s">
        <v>522</v>
      </c>
      <c r="B3" s="421"/>
      <c r="C3" s="421"/>
      <c r="D3" s="422"/>
      <c r="E3" s="9"/>
      <c r="F3" s="312"/>
    </row>
    <row r="4" spans="1:9" ht="51" customHeight="1" thickBot="1" x14ac:dyDescent="0.25">
      <c r="A4" s="343" t="s">
        <v>523</v>
      </c>
      <c r="B4" s="344"/>
      <c r="C4" s="344"/>
      <c r="D4" s="345"/>
      <c r="E4" s="9"/>
      <c r="F4" s="312"/>
    </row>
    <row r="5" spans="1:9" s="4" customFormat="1" ht="11.25" customHeight="1" thickBot="1" x14ac:dyDescent="0.3">
      <c r="A5" s="57"/>
      <c r="B5" s="57"/>
      <c r="C5" s="57"/>
      <c r="D5" s="57"/>
      <c r="E5" s="57"/>
      <c r="F5" s="313"/>
    </row>
    <row r="6" spans="1:9" s="8" customFormat="1" ht="16.5" thickBot="1" x14ac:dyDescent="0.25">
      <c r="A6" s="346" t="s">
        <v>151</v>
      </c>
      <c r="B6" s="347"/>
      <c r="C6" s="347"/>
      <c r="D6" s="348"/>
      <c r="E6" s="36"/>
      <c r="F6" s="176" t="s">
        <v>420</v>
      </c>
    </row>
    <row r="7" spans="1:9" s="4" customFormat="1" ht="15" customHeight="1" thickBot="1" x14ac:dyDescent="0.3">
      <c r="A7" s="41" t="s">
        <v>6</v>
      </c>
      <c r="B7" s="27" t="s">
        <v>165</v>
      </c>
      <c r="C7" s="32"/>
      <c r="D7" s="40"/>
      <c r="E7" s="153"/>
      <c r="F7" s="177" t="s">
        <v>184</v>
      </c>
    </row>
    <row r="8" spans="1:9" ht="68.25" customHeight="1" thickTop="1" thickBot="1" x14ac:dyDescent="0.25">
      <c r="A8" s="140" t="s">
        <v>185</v>
      </c>
      <c r="B8" s="434" t="s">
        <v>524</v>
      </c>
      <c r="C8" s="435"/>
      <c r="D8" s="436"/>
      <c r="E8" s="155"/>
      <c r="F8" s="166" t="s">
        <v>465</v>
      </c>
    </row>
    <row r="9" spans="1:9" s="8" customFormat="1" ht="39.6" customHeight="1" thickTop="1" thickBot="1" x14ac:dyDescent="0.25">
      <c r="A9" s="42" t="s">
        <v>136</v>
      </c>
      <c r="B9" s="337" t="s">
        <v>191</v>
      </c>
      <c r="C9" s="338"/>
      <c r="D9" s="339"/>
      <c r="E9" s="154"/>
      <c r="F9" s="167" t="s">
        <v>525</v>
      </c>
    </row>
    <row r="10" spans="1:9" s="8" customFormat="1" ht="15" customHeight="1" thickTop="1" x14ac:dyDescent="0.2">
      <c r="A10" s="141" t="s">
        <v>526</v>
      </c>
      <c r="B10" s="138" t="s">
        <v>527</v>
      </c>
      <c r="C10" s="139"/>
      <c r="D10" s="152"/>
      <c r="E10" s="13"/>
      <c r="F10" s="168">
        <v>2026</v>
      </c>
    </row>
    <row r="11" spans="1:9" ht="14.1" customHeight="1" x14ac:dyDescent="0.2">
      <c r="A11" s="43" t="s">
        <v>0</v>
      </c>
      <c r="B11" s="328" t="s">
        <v>154</v>
      </c>
      <c r="C11" s="329"/>
      <c r="D11" s="330"/>
      <c r="E11" s="154"/>
      <c r="F11" s="169" t="s">
        <v>420</v>
      </c>
    </row>
    <row r="12" spans="1:9" x14ac:dyDescent="0.2">
      <c r="A12" s="43" t="s">
        <v>1</v>
      </c>
      <c r="B12" s="328" t="s">
        <v>153</v>
      </c>
      <c r="C12" s="329"/>
      <c r="D12" s="330"/>
      <c r="E12" s="154"/>
      <c r="F12" s="169" t="s">
        <v>421</v>
      </c>
    </row>
    <row r="13" spans="1:9" ht="15" customHeight="1" thickBot="1" x14ac:dyDescent="0.25">
      <c r="A13" s="44" t="s">
        <v>2</v>
      </c>
      <c r="B13" s="331" t="s">
        <v>155</v>
      </c>
      <c r="C13" s="332"/>
      <c r="D13" s="333"/>
      <c r="E13" s="154"/>
      <c r="F13" s="170">
        <v>2508</v>
      </c>
      <c r="I13" s="2" t="s">
        <v>260</v>
      </c>
    </row>
    <row r="14" spans="1:9" s="8" customFormat="1" ht="15" customHeight="1" thickTop="1" x14ac:dyDescent="0.2">
      <c r="A14" s="141" t="s">
        <v>528</v>
      </c>
      <c r="B14" s="138" t="s">
        <v>529</v>
      </c>
      <c r="C14" s="139"/>
      <c r="D14" s="152"/>
      <c r="E14" s="13"/>
      <c r="F14" s="171">
        <v>2026</v>
      </c>
    </row>
    <row r="15" spans="1:9" x14ac:dyDescent="0.2">
      <c r="A15" s="43" t="s">
        <v>3</v>
      </c>
      <c r="B15" s="328" t="s">
        <v>157</v>
      </c>
      <c r="C15" s="329"/>
      <c r="D15" s="330"/>
      <c r="E15" s="13"/>
      <c r="F15" s="169" t="s">
        <v>420</v>
      </c>
    </row>
    <row r="16" spans="1:9" x14ac:dyDescent="0.2">
      <c r="A16" s="43" t="s">
        <v>4</v>
      </c>
      <c r="B16" s="328" t="s">
        <v>156</v>
      </c>
      <c r="C16" s="329"/>
      <c r="D16" s="330"/>
      <c r="E16" s="13"/>
      <c r="F16" s="169" t="s">
        <v>421</v>
      </c>
    </row>
    <row r="17" spans="1:8" ht="15.75" customHeight="1" thickBot="1" x14ac:dyDescent="0.25">
      <c r="A17" s="45" t="s">
        <v>5</v>
      </c>
      <c r="B17" s="331" t="s">
        <v>158</v>
      </c>
      <c r="C17" s="332"/>
      <c r="D17" s="333"/>
      <c r="E17" s="13"/>
      <c r="F17" s="172">
        <v>2508</v>
      </c>
    </row>
    <row r="18" spans="1:8" ht="29.25" customHeight="1" thickTop="1" x14ac:dyDescent="0.2">
      <c r="A18" s="43" t="s">
        <v>101</v>
      </c>
      <c r="B18" s="334" t="s">
        <v>160</v>
      </c>
      <c r="C18" s="335"/>
      <c r="D18" s="336"/>
      <c r="E18" s="13"/>
      <c r="F18" s="173">
        <v>100</v>
      </c>
    </row>
    <row r="19" spans="1:8" ht="30.75" customHeight="1" thickBot="1" x14ac:dyDescent="0.25">
      <c r="A19" s="45" t="s">
        <v>43</v>
      </c>
      <c r="B19" s="331" t="s">
        <v>159</v>
      </c>
      <c r="C19" s="332"/>
      <c r="D19" s="333"/>
      <c r="E19" s="13"/>
      <c r="F19" s="174" t="s">
        <v>399</v>
      </c>
    </row>
    <row r="20" spans="1:8" s="10" customFormat="1" ht="14.25" thickTop="1" thickBot="1" x14ac:dyDescent="0.25">
      <c r="C20" s="11"/>
      <c r="D20" s="11"/>
      <c r="E20" s="11"/>
      <c r="F20" s="175"/>
      <c r="G20" s="4"/>
      <c r="H20" s="4"/>
    </row>
    <row r="21" spans="1:8" s="12" customFormat="1" ht="16.5" thickBot="1" x14ac:dyDescent="0.25">
      <c r="A21" s="346" t="s">
        <v>150</v>
      </c>
      <c r="B21" s="347"/>
      <c r="C21" s="347"/>
      <c r="D21" s="348"/>
      <c r="E21" s="36"/>
      <c r="F21" s="176" t="s">
        <v>420</v>
      </c>
    </row>
    <row r="22" spans="1:8" s="4" customFormat="1" ht="15" customHeight="1" thickBot="1" x14ac:dyDescent="0.3">
      <c r="A22" s="55" t="s">
        <v>6</v>
      </c>
      <c r="B22" s="31" t="s">
        <v>165</v>
      </c>
      <c r="C22" s="33"/>
      <c r="D22" s="48"/>
      <c r="E22" s="37"/>
      <c r="F22" s="177" t="s">
        <v>184</v>
      </c>
    </row>
    <row r="23" spans="1:8" ht="56.25" customHeight="1" thickBot="1" x14ac:dyDescent="0.25">
      <c r="A23" s="46" t="s">
        <v>42</v>
      </c>
      <c r="B23" s="349" t="s">
        <v>161</v>
      </c>
      <c r="C23" s="350"/>
      <c r="D23" s="351"/>
      <c r="E23" s="13"/>
      <c r="F23" s="178">
        <f>425886*'PPI Adj'!H6</f>
        <v>443773.212</v>
      </c>
    </row>
    <row r="24" spans="1:8" ht="33" customHeight="1" thickBot="1" x14ac:dyDescent="0.25">
      <c r="A24" s="47" t="s">
        <v>41</v>
      </c>
      <c r="B24" s="370" t="s">
        <v>163</v>
      </c>
      <c r="C24" s="371"/>
      <c r="D24" s="372"/>
      <c r="E24" s="1"/>
      <c r="F24" s="179">
        <v>22</v>
      </c>
    </row>
    <row r="25" spans="1:8" ht="13.5" thickBot="1" x14ac:dyDescent="0.25">
      <c r="A25" s="58"/>
      <c r="B25" s="1"/>
      <c r="C25" s="1"/>
      <c r="D25" s="1"/>
      <c r="E25" s="1"/>
      <c r="F25" s="180"/>
      <c r="G25" s="3"/>
      <c r="H25" s="3"/>
    </row>
    <row r="26" spans="1:8" s="8" customFormat="1" ht="16.5" thickBot="1" x14ac:dyDescent="0.25">
      <c r="A26" s="373" t="s">
        <v>164</v>
      </c>
      <c r="B26" s="374"/>
      <c r="C26" s="374"/>
      <c r="D26" s="375"/>
      <c r="E26" s="38"/>
      <c r="F26" s="181" t="s">
        <v>420</v>
      </c>
    </row>
    <row r="27" spans="1:8" s="3" customFormat="1" ht="32.25" customHeight="1" thickBot="1" x14ac:dyDescent="0.3">
      <c r="A27" s="55" t="s">
        <v>6</v>
      </c>
      <c r="B27" s="56" t="s">
        <v>7</v>
      </c>
      <c r="C27" s="376" t="s">
        <v>165</v>
      </c>
      <c r="D27" s="377"/>
      <c r="E27" s="39"/>
      <c r="F27" s="182" t="s">
        <v>184</v>
      </c>
    </row>
    <row r="28" spans="1:8" s="13" customFormat="1" ht="81" customHeight="1" thickBot="1" x14ac:dyDescent="0.3">
      <c r="A28" s="49" t="s">
        <v>8</v>
      </c>
      <c r="B28" s="29" t="s">
        <v>259</v>
      </c>
      <c r="C28" s="352" t="s">
        <v>118</v>
      </c>
      <c r="D28" s="353"/>
      <c r="E28" s="34"/>
      <c r="F28" s="174">
        <v>33000</v>
      </c>
    </row>
    <row r="29" spans="1:8" s="13" customFormat="1" x14ac:dyDescent="0.25">
      <c r="A29" s="354" t="s">
        <v>21</v>
      </c>
      <c r="B29" s="356" t="s">
        <v>258</v>
      </c>
      <c r="C29" s="358" t="s">
        <v>67</v>
      </c>
      <c r="D29" s="359"/>
      <c r="E29" s="34"/>
      <c r="F29" s="183">
        <v>7</v>
      </c>
    </row>
    <row r="30" spans="1:8" s="13" customFormat="1" ht="54" customHeight="1" thickBot="1" x14ac:dyDescent="0.3">
      <c r="A30" s="355"/>
      <c r="B30" s="357"/>
      <c r="C30" s="352" t="s">
        <v>68</v>
      </c>
      <c r="D30" s="353"/>
      <c r="E30" s="34"/>
      <c r="F30" s="174">
        <v>42</v>
      </c>
    </row>
    <row r="31" spans="1:8" s="13" customFormat="1" ht="13.5" thickBot="1" x14ac:dyDescent="0.3">
      <c r="A31" s="50" t="s">
        <v>123</v>
      </c>
      <c r="B31" s="30" t="s">
        <v>108</v>
      </c>
      <c r="C31" s="427"/>
      <c r="D31" s="428"/>
      <c r="E31" s="142"/>
      <c r="F31" s="184"/>
    </row>
    <row r="32" spans="1:8" s="13" customFormat="1" x14ac:dyDescent="0.25">
      <c r="A32" s="354" t="s">
        <v>59</v>
      </c>
      <c r="B32" s="356"/>
      <c r="C32" s="358" t="s">
        <v>58</v>
      </c>
      <c r="D32" s="359"/>
      <c r="E32" s="34"/>
      <c r="F32" s="183" t="s">
        <v>452</v>
      </c>
    </row>
    <row r="33" spans="1:6" s="13" customFormat="1" x14ac:dyDescent="0.25">
      <c r="A33" s="362"/>
      <c r="B33" s="363"/>
      <c r="C33" s="364" t="s">
        <v>57</v>
      </c>
      <c r="D33" s="365"/>
      <c r="E33" s="34"/>
      <c r="F33" s="169">
        <v>379.29</v>
      </c>
    </row>
    <row r="34" spans="1:6" s="13" customFormat="1" x14ac:dyDescent="0.25">
      <c r="A34" s="362"/>
      <c r="B34" s="363"/>
      <c r="C34" s="364" t="s">
        <v>69</v>
      </c>
      <c r="D34" s="365"/>
      <c r="E34" s="34"/>
      <c r="F34" s="169" t="s">
        <v>423</v>
      </c>
    </row>
    <row r="35" spans="1:6" s="13" customFormat="1" x14ac:dyDescent="0.25">
      <c r="A35" s="362"/>
      <c r="B35" s="363"/>
      <c r="C35" s="366" t="s">
        <v>70</v>
      </c>
      <c r="D35" s="367"/>
      <c r="E35" s="34"/>
      <c r="F35" s="169" t="s">
        <v>424</v>
      </c>
    </row>
    <row r="36" spans="1:6" s="13" customFormat="1" ht="15.6" customHeight="1" thickBot="1" x14ac:dyDescent="0.3">
      <c r="A36" s="355"/>
      <c r="B36" s="357"/>
      <c r="C36" s="352" t="s">
        <v>111</v>
      </c>
      <c r="D36" s="353"/>
      <c r="E36" s="34"/>
      <c r="F36" s="174">
        <v>205.71</v>
      </c>
    </row>
    <row r="37" spans="1:6" s="13" customFormat="1" ht="15.95" customHeight="1" thickBot="1" x14ac:dyDescent="0.3">
      <c r="A37" s="50" t="s">
        <v>224</v>
      </c>
      <c r="B37" s="30" t="s">
        <v>223</v>
      </c>
      <c r="C37" s="427"/>
      <c r="D37" s="428"/>
      <c r="E37" s="142"/>
      <c r="F37" s="184"/>
    </row>
    <row r="38" spans="1:6" s="13" customFormat="1" ht="15.6" customHeight="1" x14ac:dyDescent="0.25">
      <c r="A38" s="354" t="s">
        <v>11</v>
      </c>
      <c r="B38" s="356"/>
      <c r="C38" s="358" t="s">
        <v>24</v>
      </c>
      <c r="D38" s="359"/>
      <c r="E38" s="34"/>
      <c r="F38" s="183">
        <v>12000</v>
      </c>
    </row>
    <row r="39" spans="1:6" s="13" customFormat="1" ht="15.6" customHeight="1" thickBot="1" x14ac:dyDescent="0.3">
      <c r="A39" s="355"/>
      <c r="B39" s="357"/>
      <c r="C39" s="352" t="s">
        <v>22</v>
      </c>
      <c r="D39" s="353"/>
      <c r="E39" s="34"/>
      <c r="F39" s="174">
        <v>12000</v>
      </c>
    </row>
    <row r="40" spans="1:6" s="13" customFormat="1" ht="15" customHeight="1" x14ac:dyDescent="0.25">
      <c r="A40" s="354" t="s">
        <v>16</v>
      </c>
      <c r="B40" s="356"/>
      <c r="C40" s="358" t="s">
        <v>24</v>
      </c>
      <c r="D40" s="359"/>
      <c r="E40" s="34"/>
      <c r="F40" s="183">
        <v>23000</v>
      </c>
    </row>
    <row r="41" spans="1:6" s="13" customFormat="1" ht="15.6" customHeight="1" thickBot="1" x14ac:dyDescent="0.3">
      <c r="A41" s="355"/>
      <c r="B41" s="357"/>
      <c r="C41" s="360" t="s">
        <v>23</v>
      </c>
      <c r="D41" s="361"/>
      <c r="E41" s="34"/>
      <c r="F41" s="174">
        <v>23000</v>
      </c>
    </row>
    <row r="42" spans="1:6" s="13" customFormat="1" ht="15.6" customHeight="1" thickBot="1" x14ac:dyDescent="0.3">
      <c r="A42" s="50" t="s">
        <v>52</v>
      </c>
      <c r="B42" s="30" t="s">
        <v>53</v>
      </c>
      <c r="C42" s="427"/>
      <c r="D42" s="428"/>
      <c r="E42" s="142"/>
      <c r="F42" s="184"/>
    </row>
    <row r="43" spans="1:6" s="13" customFormat="1" x14ac:dyDescent="0.25">
      <c r="A43" s="354" t="s">
        <v>219</v>
      </c>
      <c r="B43" s="356" t="s">
        <v>222</v>
      </c>
      <c r="C43" s="358" t="s">
        <v>221</v>
      </c>
      <c r="D43" s="359"/>
      <c r="E43" s="34"/>
      <c r="F43" s="183" t="s">
        <v>466</v>
      </c>
    </row>
    <row r="44" spans="1:6" s="13" customFormat="1" ht="14.45" customHeight="1" x14ac:dyDescent="0.25">
      <c r="A44" s="362"/>
      <c r="B44" s="363"/>
      <c r="C44" s="364" t="s">
        <v>220</v>
      </c>
      <c r="D44" s="365"/>
      <c r="E44" s="34"/>
      <c r="F44" s="169" t="s">
        <v>425</v>
      </c>
    </row>
    <row r="45" spans="1:6" s="13" customFormat="1" ht="80.45" customHeight="1" thickBot="1" x14ac:dyDescent="0.3">
      <c r="A45" s="355"/>
      <c r="B45" s="363"/>
      <c r="C45" s="360"/>
      <c r="D45" s="361"/>
      <c r="E45" s="34"/>
      <c r="F45" s="171"/>
    </row>
    <row r="46" spans="1:6" s="13" customFormat="1" ht="28.5" customHeight="1" thickBot="1" x14ac:dyDescent="0.3">
      <c r="A46" s="50" t="s">
        <v>219</v>
      </c>
      <c r="B46" s="30" t="s">
        <v>218</v>
      </c>
      <c r="C46" s="427"/>
      <c r="D46" s="428"/>
      <c r="E46" s="142"/>
      <c r="F46" s="184"/>
    </row>
    <row r="47" spans="1:6" s="13" customFormat="1" ht="13.5" thickBot="1" x14ac:dyDescent="0.3">
      <c r="A47" s="378" t="s">
        <v>12</v>
      </c>
      <c r="B47" s="379" t="s">
        <v>142</v>
      </c>
      <c r="C47" s="358" t="s">
        <v>174</v>
      </c>
      <c r="D47" s="359"/>
      <c r="E47" s="34"/>
      <c r="F47" s="183" t="s">
        <v>278</v>
      </c>
    </row>
    <row r="48" spans="1:6" s="13" customFormat="1" ht="13.5" thickBot="1" x14ac:dyDescent="0.3">
      <c r="A48" s="378"/>
      <c r="B48" s="379"/>
      <c r="C48" s="364" t="s">
        <v>175</v>
      </c>
      <c r="D48" s="365"/>
      <c r="E48" s="34"/>
      <c r="F48" s="169">
        <v>6610</v>
      </c>
    </row>
    <row r="49" spans="1:6" s="13" customFormat="1" ht="13.5" thickBot="1" x14ac:dyDescent="0.3">
      <c r="A49" s="378"/>
      <c r="B49" s="379"/>
      <c r="C49" s="364" t="s">
        <v>176</v>
      </c>
      <c r="D49" s="365"/>
      <c r="E49" s="34"/>
      <c r="F49" s="185" t="s">
        <v>278</v>
      </c>
    </row>
    <row r="50" spans="1:6" s="13" customFormat="1" ht="13.5" thickBot="1" x14ac:dyDescent="0.3">
      <c r="A50" s="378"/>
      <c r="B50" s="379"/>
      <c r="C50" s="364" t="s">
        <v>177</v>
      </c>
      <c r="D50" s="365"/>
      <c r="E50" s="34"/>
      <c r="F50" s="169">
        <v>6005</v>
      </c>
    </row>
    <row r="51" spans="1:6" s="13" customFormat="1" ht="13.5" thickBot="1" x14ac:dyDescent="0.3">
      <c r="A51" s="378"/>
      <c r="B51" s="379"/>
      <c r="C51" s="364" t="s">
        <v>112</v>
      </c>
      <c r="D51" s="365"/>
      <c r="E51" s="34"/>
      <c r="F51" s="169" t="s">
        <v>426</v>
      </c>
    </row>
    <row r="52" spans="1:6" s="13" customFormat="1" ht="13.5" thickBot="1" x14ac:dyDescent="0.3">
      <c r="A52" s="378"/>
      <c r="B52" s="379"/>
      <c r="C52" s="364" t="s">
        <v>113</v>
      </c>
      <c r="D52" s="365"/>
      <c r="E52" s="34"/>
      <c r="F52" s="169" t="s">
        <v>427</v>
      </c>
    </row>
    <row r="53" spans="1:6" s="13" customFormat="1" ht="13.5" thickBot="1" x14ac:dyDescent="0.3">
      <c r="A53" s="378"/>
      <c r="B53" s="379"/>
      <c r="C53" s="366" t="s">
        <v>114</v>
      </c>
      <c r="D53" s="367"/>
      <c r="E53" s="34"/>
      <c r="F53" s="169" t="s">
        <v>426</v>
      </c>
    </row>
    <row r="54" spans="1:6" s="13" customFormat="1" ht="14.45" customHeight="1" thickBot="1" x14ac:dyDescent="0.3">
      <c r="A54" s="378"/>
      <c r="B54" s="379"/>
      <c r="C54" s="352" t="s">
        <v>115</v>
      </c>
      <c r="D54" s="353"/>
      <c r="E54" s="34"/>
      <c r="F54" s="174" t="s">
        <v>427</v>
      </c>
    </row>
    <row r="55" spans="1:6" s="13" customFormat="1" ht="15" customHeight="1" x14ac:dyDescent="0.25">
      <c r="A55" s="354" t="s">
        <v>10</v>
      </c>
      <c r="B55" s="356" t="s">
        <v>217</v>
      </c>
      <c r="C55" s="358" t="s">
        <v>116</v>
      </c>
      <c r="D55" s="359"/>
      <c r="E55" s="34"/>
      <c r="F55" s="183">
        <v>1</v>
      </c>
    </row>
    <row r="56" spans="1:6" s="13" customFormat="1" x14ac:dyDescent="0.25">
      <c r="A56" s="362"/>
      <c r="B56" s="363"/>
      <c r="C56" s="364" t="s">
        <v>117</v>
      </c>
      <c r="D56" s="365"/>
      <c r="E56" s="34"/>
      <c r="F56" s="169" t="s">
        <v>197</v>
      </c>
    </row>
    <row r="57" spans="1:6" s="13" customFormat="1" ht="14.45" customHeight="1" thickBot="1" x14ac:dyDescent="0.3">
      <c r="A57" s="362"/>
      <c r="B57" s="363"/>
      <c r="C57" s="360" t="s">
        <v>71</v>
      </c>
      <c r="D57" s="361"/>
      <c r="E57" s="156"/>
      <c r="F57" s="171" t="s">
        <v>467</v>
      </c>
    </row>
    <row r="58" spans="1:6" s="13" customFormat="1" ht="39" thickBot="1" x14ac:dyDescent="0.3">
      <c r="A58" s="28" t="s">
        <v>185</v>
      </c>
      <c r="B58" s="28" t="s">
        <v>186</v>
      </c>
      <c r="C58" s="380" t="s">
        <v>187</v>
      </c>
      <c r="D58" s="430"/>
      <c r="E58" s="157"/>
      <c r="F58" s="183">
        <v>135</v>
      </c>
    </row>
    <row r="59" spans="1:6" s="13" customFormat="1" ht="12.75" customHeight="1" x14ac:dyDescent="0.25">
      <c r="A59" s="354" t="s">
        <v>26</v>
      </c>
      <c r="B59" s="356" t="s">
        <v>253</v>
      </c>
      <c r="C59" s="358" t="s">
        <v>188</v>
      </c>
      <c r="D59" s="431"/>
      <c r="E59" s="34"/>
      <c r="F59" s="183" t="s">
        <v>468</v>
      </c>
    </row>
    <row r="60" spans="1:6" s="13" customFormat="1" ht="12.75" customHeight="1" x14ac:dyDescent="0.25">
      <c r="A60" s="362"/>
      <c r="B60" s="363"/>
      <c r="C60" s="364" t="s">
        <v>189</v>
      </c>
      <c r="D60" s="432"/>
      <c r="E60" s="34"/>
      <c r="F60" s="169" t="s">
        <v>469</v>
      </c>
    </row>
    <row r="61" spans="1:6" s="13" customFormat="1" ht="32.25" customHeight="1" thickBot="1" x14ac:dyDescent="0.3">
      <c r="A61" s="355"/>
      <c r="B61" s="357"/>
      <c r="C61" s="360" t="s">
        <v>190</v>
      </c>
      <c r="D61" s="433"/>
      <c r="E61" s="34"/>
      <c r="F61" s="174">
        <v>700</v>
      </c>
    </row>
    <row r="62" spans="1:6" s="13" customFormat="1" ht="13.5" thickBot="1" x14ac:dyDescent="0.3">
      <c r="A62" s="50" t="s">
        <v>44</v>
      </c>
      <c r="B62" s="30" t="s">
        <v>45</v>
      </c>
      <c r="C62" s="427"/>
      <c r="D62" s="428"/>
      <c r="E62" s="142"/>
      <c r="F62" s="186"/>
    </row>
    <row r="63" spans="1:6" s="13" customFormat="1" ht="28.5" customHeight="1" thickBot="1" x14ac:dyDescent="0.3">
      <c r="A63" s="50" t="s">
        <v>44</v>
      </c>
      <c r="B63" s="30" t="s">
        <v>63</v>
      </c>
      <c r="C63" s="427"/>
      <c r="D63" s="428"/>
      <c r="E63" s="142"/>
      <c r="F63" s="186"/>
    </row>
    <row r="64" spans="1:6" s="13" customFormat="1" ht="26.25" thickBot="1" x14ac:dyDescent="0.3">
      <c r="A64" s="50" t="s">
        <v>44</v>
      </c>
      <c r="B64" s="30" t="s">
        <v>64</v>
      </c>
      <c r="C64" s="427"/>
      <c r="D64" s="428"/>
      <c r="E64" s="142"/>
      <c r="F64" s="186"/>
    </row>
    <row r="65" spans="1:8" s="13" customFormat="1" ht="26.25" thickBot="1" x14ac:dyDescent="0.3">
      <c r="A65" s="50" t="s">
        <v>50</v>
      </c>
      <c r="B65" s="30" t="s">
        <v>216</v>
      </c>
      <c r="C65" s="427"/>
      <c r="D65" s="428"/>
      <c r="E65" s="142"/>
      <c r="F65" s="186"/>
    </row>
    <row r="66" spans="1:8" s="13" customFormat="1" ht="15" customHeight="1" thickBot="1" x14ac:dyDescent="0.3">
      <c r="A66" s="50" t="s">
        <v>27</v>
      </c>
      <c r="B66" s="30" t="s">
        <v>215</v>
      </c>
      <c r="C66" s="380" t="s">
        <v>77</v>
      </c>
      <c r="D66" s="381"/>
      <c r="E66" s="34"/>
      <c r="F66" s="184" t="s">
        <v>432</v>
      </c>
    </row>
    <row r="67" spans="1:8" s="13" customFormat="1" ht="51.75" thickBot="1" x14ac:dyDescent="0.3">
      <c r="A67" s="50" t="s">
        <v>214</v>
      </c>
      <c r="B67" s="30" t="s">
        <v>213</v>
      </c>
      <c r="C67" s="380"/>
      <c r="D67" s="381"/>
      <c r="E67" s="34"/>
      <c r="F67" s="184"/>
    </row>
    <row r="68" spans="1:8" s="13" customFormat="1" ht="39" thickBot="1" x14ac:dyDescent="0.3">
      <c r="A68" s="50" t="s">
        <v>51</v>
      </c>
      <c r="B68" s="30" t="s">
        <v>212</v>
      </c>
      <c r="C68" s="427"/>
      <c r="D68" s="428"/>
      <c r="E68" s="142"/>
      <c r="F68" s="184"/>
    </row>
    <row r="69" spans="1:8" s="13" customFormat="1" ht="39" thickBot="1" x14ac:dyDescent="0.3">
      <c r="A69" s="50" t="s">
        <v>54</v>
      </c>
      <c r="B69" s="30" t="s">
        <v>80</v>
      </c>
      <c r="C69" s="427"/>
      <c r="D69" s="428"/>
      <c r="E69" s="142"/>
      <c r="F69" s="184"/>
    </row>
    <row r="70" spans="1:8" s="13" customFormat="1" ht="77.099999999999994" customHeight="1" thickBot="1" x14ac:dyDescent="0.3">
      <c r="A70" s="50" t="s">
        <v>29</v>
      </c>
      <c r="B70" s="30" t="s">
        <v>211</v>
      </c>
      <c r="C70" s="427"/>
      <c r="D70" s="428"/>
      <c r="E70" s="142"/>
      <c r="F70" s="184"/>
    </row>
    <row r="71" spans="1:8" s="13" customFormat="1" ht="53.45" customHeight="1" thickBot="1" x14ac:dyDescent="0.3">
      <c r="A71" s="50" t="s">
        <v>31</v>
      </c>
      <c r="B71" s="30" t="s">
        <v>210</v>
      </c>
      <c r="C71" s="380" t="s">
        <v>30</v>
      </c>
      <c r="D71" s="381"/>
      <c r="E71" s="34"/>
      <c r="F71" s="184" t="s">
        <v>435</v>
      </c>
    </row>
    <row r="72" spans="1:8" s="13" customFormat="1" ht="26.25" thickBot="1" x14ac:dyDescent="0.3">
      <c r="A72" s="50" t="s">
        <v>55</v>
      </c>
      <c r="B72" s="30" t="s">
        <v>95</v>
      </c>
      <c r="C72" s="427"/>
      <c r="D72" s="428"/>
      <c r="E72" s="142"/>
      <c r="F72" s="184"/>
    </row>
    <row r="73" spans="1:8" s="13" customFormat="1" ht="26.25" thickBot="1" x14ac:dyDescent="0.3">
      <c r="A73" s="50" t="s">
        <v>32</v>
      </c>
      <c r="B73" s="30" t="s">
        <v>96</v>
      </c>
      <c r="C73" s="380" t="s">
        <v>30</v>
      </c>
      <c r="D73" s="381"/>
      <c r="E73" s="34"/>
      <c r="F73" s="184" t="s">
        <v>436</v>
      </c>
    </row>
    <row r="74" spans="1:8" s="13" customFormat="1" ht="39" thickBot="1" x14ac:dyDescent="0.3">
      <c r="A74" s="50" t="s">
        <v>56</v>
      </c>
      <c r="B74" s="30" t="s">
        <v>167</v>
      </c>
      <c r="C74" s="427"/>
      <c r="D74" s="428"/>
      <c r="E74" s="142"/>
      <c r="F74" s="184"/>
    </row>
    <row r="75" spans="1:8" s="13" customFormat="1" ht="26.25" thickBot="1" x14ac:dyDescent="0.3">
      <c r="A75" s="50" t="s">
        <v>48</v>
      </c>
      <c r="B75" s="30" t="s">
        <v>47</v>
      </c>
      <c r="C75" s="427"/>
      <c r="D75" s="428"/>
      <c r="E75" s="142"/>
      <c r="F75" s="184"/>
    </row>
    <row r="76" spans="1:8" s="13" customFormat="1" ht="26.25" thickBot="1" x14ac:dyDescent="0.3">
      <c r="A76" s="50" t="s">
        <v>49</v>
      </c>
      <c r="B76" s="30" t="s">
        <v>103</v>
      </c>
      <c r="C76" s="427"/>
      <c r="D76" s="428"/>
      <c r="E76" s="142"/>
      <c r="F76" s="184" t="s">
        <v>280</v>
      </c>
    </row>
    <row r="77" spans="1:8" s="13" customFormat="1" ht="26.25" thickBot="1" x14ac:dyDescent="0.3">
      <c r="A77" s="50" t="s">
        <v>46</v>
      </c>
      <c r="B77" s="30" t="s">
        <v>81</v>
      </c>
      <c r="C77" s="427"/>
      <c r="D77" s="428"/>
      <c r="E77" s="142"/>
      <c r="F77" s="184"/>
    </row>
    <row r="78" spans="1:8" ht="13.5" thickBot="1" x14ac:dyDescent="0.25">
      <c r="G78" s="3"/>
      <c r="H78" s="3"/>
    </row>
    <row r="79" spans="1:8" s="17" customFormat="1" ht="18.75" thickBot="1" x14ac:dyDescent="0.3">
      <c r="A79" s="373" t="s">
        <v>168</v>
      </c>
      <c r="B79" s="374"/>
      <c r="C79" s="374"/>
      <c r="D79" s="375"/>
      <c r="E79" s="38"/>
      <c r="F79" s="181" t="s">
        <v>420</v>
      </c>
    </row>
    <row r="80" spans="1:8" s="3" customFormat="1" ht="15" customHeight="1" thickBot="1" x14ac:dyDescent="0.3">
      <c r="A80" s="382" t="s">
        <v>169</v>
      </c>
      <c r="B80" s="383"/>
      <c r="C80" s="383"/>
      <c r="D80" s="384"/>
      <c r="E80" s="39"/>
      <c r="F80" s="188" t="s">
        <v>184</v>
      </c>
    </row>
    <row r="81" spans="1:6" s="13" customFormat="1" x14ac:dyDescent="0.25">
      <c r="A81" s="385" t="s">
        <v>83</v>
      </c>
      <c r="B81" s="386"/>
      <c r="C81" s="386"/>
      <c r="D81" s="387"/>
      <c r="E81" s="142"/>
      <c r="F81" s="189">
        <f>-1453.67*'PPI Adj'!H6</f>
        <v>-1514.72414</v>
      </c>
    </row>
    <row r="82" spans="1:6" s="13" customFormat="1" x14ac:dyDescent="0.25">
      <c r="A82" s="388" t="s">
        <v>34</v>
      </c>
      <c r="B82" s="389"/>
      <c r="C82" s="389"/>
      <c r="D82" s="390"/>
      <c r="E82" s="34"/>
      <c r="F82" s="190">
        <f>591.81*'PPI Adj'!H6</f>
        <v>616.66602</v>
      </c>
    </row>
    <row r="83" spans="1:6" s="13" customFormat="1" x14ac:dyDescent="0.25">
      <c r="A83" s="388" t="s">
        <v>35</v>
      </c>
      <c r="B83" s="389"/>
      <c r="C83" s="389"/>
      <c r="D83" s="390"/>
      <c r="E83" s="142"/>
      <c r="F83" s="190">
        <f>704.57*'PPI Adj'!H6</f>
        <v>734.16194000000007</v>
      </c>
    </row>
    <row r="84" spans="1:6" s="13" customFormat="1" x14ac:dyDescent="0.25">
      <c r="A84" s="388" t="s">
        <v>36</v>
      </c>
      <c r="B84" s="389"/>
      <c r="C84" s="389"/>
      <c r="D84" s="390"/>
      <c r="E84" s="34"/>
      <c r="F84" s="190">
        <f>1457.47*'PPI Adj'!H6</f>
        <v>1518.6837400000002</v>
      </c>
    </row>
    <row r="85" spans="1:6" s="13" customFormat="1" x14ac:dyDescent="0.25">
      <c r="A85" s="388" t="s">
        <v>60</v>
      </c>
      <c r="B85" s="389"/>
      <c r="C85" s="389"/>
      <c r="D85" s="390"/>
      <c r="E85" s="34"/>
      <c r="F85" s="190">
        <f>655.98*'PPI Adj'!H6</f>
        <v>683.53116</v>
      </c>
    </row>
    <row r="86" spans="1:6" s="13" customFormat="1" x14ac:dyDescent="0.25">
      <c r="A86" s="388" t="s">
        <v>61</v>
      </c>
      <c r="B86" s="389"/>
      <c r="C86" s="389"/>
      <c r="D86" s="390"/>
      <c r="E86" s="34"/>
      <c r="F86" s="190" t="s">
        <v>183</v>
      </c>
    </row>
    <row r="87" spans="1:6" s="13" customFormat="1" x14ac:dyDescent="0.25">
      <c r="A87" s="388" t="s">
        <v>86</v>
      </c>
      <c r="B87" s="389"/>
      <c r="C87" s="389"/>
      <c r="D87" s="390"/>
      <c r="E87" s="34"/>
      <c r="F87" s="190">
        <f>1307.4*'PPI Adj'!H6</f>
        <v>1362.3108000000002</v>
      </c>
    </row>
    <row r="88" spans="1:6" x14ac:dyDescent="0.2">
      <c r="A88" s="394" t="s">
        <v>85</v>
      </c>
      <c r="B88" s="395"/>
      <c r="C88" s="395"/>
      <c r="D88" s="396"/>
      <c r="E88" s="34"/>
      <c r="F88" s="190">
        <f>4546.22*'PPI Adj'!H6</f>
        <v>4737.1612400000004</v>
      </c>
    </row>
    <row r="89" spans="1:6" x14ac:dyDescent="0.2">
      <c r="A89" s="388" t="s">
        <v>13</v>
      </c>
      <c r="B89" s="389"/>
      <c r="C89" s="389"/>
      <c r="D89" s="390"/>
      <c r="E89" s="34"/>
      <c r="F89" s="190">
        <f>6533.28*'PPI Adj'!H6</f>
        <v>6807.6777599999996</v>
      </c>
    </row>
    <row r="90" spans="1:6" x14ac:dyDescent="0.2">
      <c r="A90" s="388" t="s">
        <v>37</v>
      </c>
      <c r="B90" s="389"/>
      <c r="C90" s="389"/>
      <c r="D90" s="390"/>
      <c r="E90" s="142"/>
      <c r="F90" s="190">
        <f>105.98*'PPI Adj'!H6</f>
        <v>110.43116000000001</v>
      </c>
    </row>
    <row r="91" spans="1:6" x14ac:dyDescent="0.2">
      <c r="A91" s="388" t="s">
        <v>38</v>
      </c>
      <c r="B91" s="389"/>
      <c r="C91" s="389"/>
      <c r="D91" s="390"/>
      <c r="E91" s="142"/>
      <c r="F91" s="190">
        <f>432.41*'PPI Adj'!H6</f>
        <v>450.57122000000004</v>
      </c>
    </row>
    <row r="92" spans="1:6" x14ac:dyDescent="0.2">
      <c r="A92" s="388" t="s">
        <v>201</v>
      </c>
      <c r="B92" s="389"/>
      <c r="C92" s="389"/>
      <c r="D92" s="390"/>
      <c r="E92" s="142"/>
      <c r="F92" s="190" t="s">
        <v>183</v>
      </c>
    </row>
    <row r="93" spans="1:6" x14ac:dyDescent="0.2">
      <c r="A93" s="388" t="s">
        <v>39</v>
      </c>
      <c r="B93" s="389"/>
      <c r="C93" s="389"/>
      <c r="D93" s="390"/>
      <c r="E93" s="34"/>
      <c r="F93" s="190">
        <f>785.97*'PPI Adj'!H6</f>
        <v>818.98074000000008</v>
      </c>
    </row>
    <row r="94" spans="1:6" x14ac:dyDescent="0.2">
      <c r="A94" s="388" t="s">
        <v>88</v>
      </c>
      <c r="B94" s="389"/>
      <c r="C94" s="389"/>
      <c r="D94" s="390"/>
      <c r="E94" s="34"/>
      <c r="F94" s="190">
        <f>3939.22*'PPI Adj'!H6</f>
        <v>4104.6672399999998</v>
      </c>
    </row>
    <row r="95" spans="1:6" x14ac:dyDescent="0.2">
      <c r="A95" s="388" t="s">
        <v>40</v>
      </c>
      <c r="B95" s="389"/>
      <c r="C95" s="389"/>
      <c r="D95" s="390"/>
      <c r="E95" s="34"/>
      <c r="F95" s="190">
        <f>421.2*'PPI Adj'!H6</f>
        <v>438.8904</v>
      </c>
    </row>
    <row r="96" spans="1:6" x14ac:dyDescent="0.2">
      <c r="A96" s="388" t="s">
        <v>14</v>
      </c>
      <c r="B96" s="389"/>
      <c r="C96" s="389"/>
      <c r="D96" s="390"/>
      <c r="E96" s="34"/>
      <c r="F96" s="190">
        <f>23397.19*'PPI Adj'!H6</f>
        <v>24379.87198</v>
      </c>
    </row>
    <row r="97" spans="1:8" x14ac:dyDescent="0.2">
      <c r="A97" s="388" t="s">
        <v>91</v>
      </c>
      <c r="B97" s="389"/>
      <c r="C97" s="389"/>
      <c r="D97" s="390"/>
      <c r="E97" s="34"/>
      <c r="F97" s="190">
        <f>1956.6*'PPI Adj'!H6</f>
        <v>2038.7772</v>
      </c>
    </row>
    <row r="98" spans="1:8" x14ac:dyDescent="0.2">
      <c r="A98" s="388" t="s">
        <v>275</v>
      </c>
      <c r="B98" s="389"/>
      <c r="C98" s="389"/>
      <c r="D98" s="390"/>
      <c r="E98" s="143"/>
      <c r="F98" s="190">
        <f>-413.21*'PPI Adj'!H6</f>
        <v>-430.56482</v>
      </c>
    </row>
    <row r="99" spans="1:8" ht="15.6" customHeight="1" thickBot="1" x14ac:dyDescent="0.25">
      <c r="A99" s="391" t="s">
        <v>92</v>
      </c>
      <c r="B99" s="392"/>
      <c r="C99" s="392"/>
      <c r="D99" s="393"/>
      <c r="E99" s="142"/>
      <c r="F99" s="191">
        <f>1101.16*'PPI Adj'!H6</f>
        <v>1147.4087200000001</v>
      </c>
    </row>
    <row r="100" spans="1:8" ht="13.5" thickBot="1" x14ac:dyDescent="0.25">
      <c r="F100" s="175"/>
      <c r="G100" s="86"/>
      <c r="H100" s="86"/>
    </row>
    <row r="101" spans="1:8" s="17" customFormat="1" ht="18.75" thickBot="1" x14ac:dyDescent="0.3">
      <c r="A101" s="373" t="s">
        <v>166</v>
      </c>
      <c r="B101" s="374"/>
      <c r="C101" s="374"/>
      <c r="D101" s="375"/>
      <c r="E101" s="38"/>
      <c r="F101" s="181" t="s">
        <v>420</v>
      </c>
    </row>
    <row r="102" spans="1:8" s="3" customFormat="1" ht="26.25" thickBot="1" x14ac:dyDescent="0.3">
      <c r="A102" s="52" t="s">
        <v>33</v>
      </c>
      <c r="B102" s="24" t="s">
        <v>7</v>
      </c>
      <c r="C102" s="397" t="s">
        <v>165</v>
      </c>
      <c r="D102" s="398"/>
      <c r="E102" s="39"/>
      <c r="F102" s="188" t="s">
        <v>184</v>
      </c>
    </row>
    <row r="103" spans="1:8" s="13" customFormat="1" ht="39" thickBot="1" x14ac:dyDescent="0.3">
      <c r="A103" s="53" t="s">
        <v>83</v>
      </c>
      <c r="B103" s="23" t="s">
        <v>146</v>
      </c>
      <c r="C103" s="426"/>
      <c r="D103" s="429"/>
      <c r="E103" s="142"/>
      <c r="F103" s="184" t="s">
        <v>439</v>
      </c>
    </row>
    <row r="104" spans="1:8" s="13" customFormat="1" ht="26.25" thickBot="1" x14ac:dyDescent="0.3">
      <c r="A104" s="50" t="s">
        <v>34</v>
      </c>
      <c r="B104" s="30" t="s">
        <v>107</v>
      </c>
      <c r="C104" s="380" t="s">
        <v>30</v>
      </c>
      <c r="D104" s="381"/>
      <c r="E104" s="34"/>
      <c r="F104" s="184" t="s">
        <v>439</v>
      </c>
    </row>
    <row r="105" spans="1:8" s="13" customFormat="1" ht="54" customHeight="1" thickBot="1" x14ac:dyDescent="0.3">
      <c r="A105" s="50" t="s">
        <v>35</v>
      </c>
      <c r="B105" s="30" t="s">
        <v>97</v>
      </c>
      <c r="C105" s="427"/>
      <c r="D105" s="428"/>
      <c r="E105" s="142"/>
      <c r="F105" s="184"/>
    </row>
    <row r="106" spans="1:8" s="13" customFormat="1" ht="26.25" thickBot="1" x14ac:dyDescent="0.3">
      <c r="A106" s="50" t="s">
        <v>36</v>
      </c>
      <c r="B106" s="30" t="s">
        <v>84</v>
      </c>
      <c r="C106" s="380" t="s">
        <v>99</v>
      </c>
      <c r="D106" s="381"/>
      <c r="E106" s="34"/>
      <c r="F106" s="184" t="s">
        <v>441</v>
      </c>
    </row>
    <row r="107" spans="1:8" s="13" customFormat="1" ht="12.75" customHeight="1" x14ac:dyDescent="0.25">
      <c r="A107" s="354" t="s">
        <v>60</v>
      </c>
      <c r="B107" s="356" t="s">
        <v>133</v>
      </c>
      <c r="C107" s="358" t="s">
        <v>203</v>
      </c>
      <c r="D107" s="359"/>
      <c r="E107" s="34"/>
      <c r="F107" s="183" t="s">
        <v>278</v>
      </c>
    </row>
    <row r="108" spans="1:8" s="13" customFormat="1" x14ac:dyDescent="0.25">
      <c r="A108" s="362"/>
      <c r="B108" s="363"/>
      <c r="C108" s="364" t="s">
        <v>202</v>
      </c>
      <c r="D108" s="365"/>
      <c r="E108" s="34"/>
      <c r="F108" s="169">
        <v>6610</v>
      </c>
    </row>
    <row r="109" spans="1:8" s="13" customFormat="1" x14ac:dyDescent="0.25">
      <c r="A109" s="362"/>
      <c r="B109" s="363"/>
      <c r="C109" s="364" t="s">
        <v>114</v>
      </c>
      <c r="D109" s="365"/>
      <c r="E109" s="34"/>
      <c r="F109" s="169" t="s">
        <v>442</v>
      </c>
    </row>
    <row r="110" spans="1:8" s="13" customFormat="1" ht="30.75" customHeight="1" thickBot="1" x14ac:dyDescent="0.3">
      <c r="A110" s="355"/>
      <c r="B110" s="357"/>
      <c r="C110" s="352" t="s">
        <v>115</v>
      </c>
      <c r="D110" s="353"/>
      <c r="E110" s="34"/>
      <c r="F110" s="174" t="s">
        <v>443</v>
      </c>
    </row>
    <row r="111" spans="1:8" s="13" customFormat="1" ht="12.75" customHeight="1" x14ac:dyDescent="0.25">
      <c r="A111" s="354" t="s">
        <v>61</v>
      </c>
      <c r="B111" s="356" t="s">
        <v>206</v>
      </c>
      <c r="C111" s="358" t="s">
        <v>205</v>
      </c>
      <c r="D111" s="359"/>
      <c r="E111" s="34"/>
      <c r="F111" s="183"/>
    </row>
    <row r="112" spans="1:8" s="13" customFormat="1" x14ac:dyDescent="0.25">
      <c r="A112" s="362"/>
      <c r="B112" s="363"/>
      <c r="C112" s="364" t="s">
        <v>204</v>
      </c>
      <c r="D112" s="365"/>
      <c r="E112" s="34"/>
      <c r="F112" s="185"/>
    </row>
    <row r="113" spans="1:6" s="13" customFormat="1" x14ac:dyDescent="0.25">
      <c r="A113" s="362"/>
      <c r="B113" s="363"/>
      <c r="C113" s="364" t="s">
        <v>203</v>
      </c>
      <c r="D113" s="365"/>
      <c r="E113" s="34"/>
      <c r="F113" s="185"/>
    </row>
    <row r="114" spans="1:6" s="13" customFormat="1" x14ac:dyDescent="0.25">
      <c r="A114" s="362"/>
      <c r="B114" s="363"/>
      <c r="C114" s="364" t="s">
        <v>202</v>
      </c>
      <c r="D114" s="365"/>
      <c r="E114" s="34"/>
      <c r="F114" s="169"/>
    </row>
    <row r="115" spans="1:6" s="13" customFormat="1" x14ac:dyDescent="0.25">
      <c r="A115" s="362"/>
      <c r="B115" s="363"/>
      <c r="C115" s="364" t="s">
        <v>112</v>
      </c>
      <c r="D115" s="365"/>
      <c r="E115" s="34"/>
      <c r="F115" s="169"/>
    </row>
    <row r="116" spans="1:6" s="13" customFormat="1" x14ac:dyDescent="0.25">
      <c r="A116" s="362"/>
      <c r="B116" s="363"/>
      <c r="C116" s="364" t="s">
        <v>113</v>
      </c>
      <c r="D116" s="365"/>
      <c r="E116" s="34"/>
      <c r="F116" s="185"/>
    </row>
    <row r="117" spans="1:6" s="13" customFormat="1" x14ac:dyDescent="0.25">
      <c r="A117" s="362"/>
      <c r="B117" s="363"/>
      <c r="C117" s="364" t="s">
        <v>114</v>
      </c>
      <c r="D117" s="365"/>
      <c r="E117" s="34"/>
      <c r="F117" s="185"/>
    </row>
    <row r="118" spans="1:6" s="13" customFormat="1" ht="14.1" customHeight="1" thickBot="1" x14ac:dyDescent="0.3">
      <c r="A118" s="355"/>
      <c r="B118" s="357"/>
      <c r="C118" s="352" t="s">
        <v>115</v>
      </c>
      <c r="D118" s="353"/>
      <c r="E118" s="34"/>
      <c r="F118" s="174"/>
    </row>
    <row r="119" spans="1:6" s="13" customFormat="1" ht="144.94999999999999" customHeight="1" thickBot="1" x14ac:dyDescent="0.3">
      <c r="A119" s="54" t="s">
        <v>86</v>
      </c>
      <c r="B119" s="18" t="s">
        <v>143</v>
      </c>
      <c r="C119" s="380" t="s">
        <v>104</v>
      </c>
      <c r="D119" s="381"/>
      <c r="E119" s="34"/>
      <c r="F119" s="183" t="s">
        <v>444</v>
      </c>
    </row>
    <row r="120" spans="1:6" ht="170.1" customHeight="1" thickBot="1" x14ac:dyDescent="0.25">
      <c r="A120" s="50" t="s">
        <v>85</v>
      </c>
      <c r="B120" s="144" t="s">
        <v>170</v>
      </c>
      <c r="C120" s="380" t="s">
        <v>104</v>
      </c>
      <c r="D120" s="381"/>
      <c r="E120" s="34"/>
      <c r="F120" s="184" t="s">
        <v>464</v>
      </c>
    </row>
    <row r="121" spans="1:6" x14ac:dyDescent="0.2">
      <c r="A121" s="354" t="s">
        <v>13</v>
      </c>
      <c r="B121" s="356" t="s">
        <v>98</v>
      </c>
      <c r="C121" s="358" t="s">
        <v>30</v>
      </c>
      <c r="D121" s="359"/>
      <c r="E121" s="34"/>
      <c r="F121" s="183" t="s">
        <v>446</v>
      </c>
    </row>
    <row r="122" spans="1:6" ht="27.95" customHeight="1" thickBot="1" x14ac:dyDescent="0.25">
      <c r="A122" s="355"/>
      <c r="B122" s="357"/>
      <c r="C122" s="352" t="s">
        <v>109</v>
      </c>
      <c r="D122" s="353"/>
      <c r="E122" s="34"/>
      <c r="F122" s="174">
        <v>1000</v>
      </c>
    </row>
    <row r="123" spans="1:6" ht="66" customHeight="1" thickBot="1" x14ac:dyDescent="0.25">
      <c r="A123" s="50" t="s">
        <v>37</v>
      </c>
      <c r="B123" s="30" t="s">
        <v>135</v>
      </c>
      <c r="C123" s="427"/>
      <c r="D123" s="428"/>
      <c r="E123" s="142"/>
      <c r="F123" s="174" t="s">
        <v>447</v>
      </c>
    </row>
    <row r="124" spans="1:6" ht="40.5" customHeight="1" thickBot="1" x14ac:dyDescent="0.25">
      <c r="A124" s="50" t="s">
        <v>38</v>
      </c>
      <c r="B124" s="30" t="s">
        <v>87</v>
      </c>
      <c r="C124" s="427"/>
      <c r="D124" s="428"/>
      <c r="E124" s="142"/>
      <c r="F124" s="184"/>
    </row>
    <row r="125" spans="1:6" ht="14.25" customHeight="1" thickBot="1" x14ac:dyDescent="0.25">
      <c r="A125" s="50" t="s">
        <v>201</v>
      </c>
      <c r="B125" s="30" t="s">
        <v>200</v>
      </c>
      <c r="C125" s="380"/>
      <c r="D125" s="381"/>
      <c r="E125" s="34"/>
      <c r="F125" s="184"/>
    </row>
    <row r="126" spans="1:6" ht="27" customHeight="1" thickBot="1" x14ac:dyDescent="0.25">
      <c r="A126" s="50" t="s">
        <v>39</v>
      </c>
      <c r="B126" s="30" t="s">
        <v>106</v>
      </c>
      <c r="C126" s="380" t="s">
        <v>105</v>
      </c>
      <c r="D126" s="381"/>
      <c r="E126" s="34"/>
      <c r="F126" s="184" t="s">
        <v>184</v>
      </c>
    </row>
    <row r="127" spans="1:6" ht="39" thickBot="1" x14ac:dyDescent="0.25">
      <c r="A127" s="50" t="s">
        <v>40</v>
      </c>
      <c r="B127" s="30" t="s">
        <v>137</v>
      </c>
      <c r="C127" s="380" t="s">
        <v>100</v>
      </c>
      <c r="D127" s="381"/>
      <c r="E127" s="34"/>
      <c r="F127" s="171" t="s">
        <v>457</v>
      </c>
    </row>
    <row r="128" spans="1:6" ht="54.6" customHeight="1" thickBot="1" x14ac:dyDescent="0.25">
      <c r="A128" s="50" t="s">
        <v>14</v>
      </c>
      <c r="B128" s="30" t="s">
        <v>138</v>
      </c>
      <c r="C128" s="380" t="s">
        <v>139</v>
      </c>
      <c r="D128" s="381"/>
      <c r="E128" s="34"/>
      <c r="F128" s="184" t="s">
        <v>530</v>
      </c>
    </row>
    <row r="129" spans="1:6" ht="64.5" customHeight="1" thickBot="1" x14ac:dyDescent="0.25">
      <c r="A129" s="50" t="s">
        <v>91</v>
      </c>
      <c r="B129" s="30" t="s">
        <v>144</v>
      </c>
      <c r="C129" s="380" t="s">
        <v>100</v>
      </c>
      <c r="D129" s="381"/>
      <c r="E129" s="34"/>
      <c r="F129" s="184" t="s">
        <v>359</v>
      </c>
    </row>
    <row r="130" spans="1:6" ht="68.45" customHeight="1" thickBot="1" x14ac:dyDescent="0.25">
      <c r="A130" s="50" t="s">
        <v>92</v>
      </c>
      <c r="B130" s="30" t="s">
        <v>145</v>
      </c>
      <c r="C130" s="427"/>
      <c r="D130" s="428"/>
      <c r="E130" s="142"/>
      <c r="F130" s="184"/>
    </row>
  </sheetData>
  <sheetProtection algorithmName="SHA-512" hashValue="L/g+ZMpHYON5uwrXDliuGDceMVKjdHYYHVgD3N1r130CskTBcUxSHHvRceEitXIJhDeM1Alq9JhgjL2CpI4pWA==" saltValue="UZICg9VXG7ZHGTBzQ54+9w==" spinCount="100000" sheet="1" objects="1" scenarios="1"/>
  <dataConsolidate/>
  <mergeCells count="141">
    <mergeCell ref="A3:D3"/>
    <mergeCell ref="A4:D4"/>
    <mergeCell ref="A6:D6"/>
    <mergeCell ref="B9:D9"/>
    <mergeCell ref="B18:D18"/>
    <mergeCell ref="B19:D19"/>
    <mergeCell ref="A21:D21"/>
    <mergeCell ref="B8:D8"/>
    <mergeCell ref="B23:D23"/>
    <mergeCell ref="B24:D24"/>
    <mergeCell ref="A26:D26"/>
    <mergeCell ref="B11:D11"/>
    <mergeCell ref="B12:D12"/>
    <mergeCell ref="B13:D13"/>
    <mergeCell ref="B15:D15"/>
    <mergeCell ref="B16:D16"/>
    <mergeCell ref="B17:D17"/>
    <mergeCell ref="C31:D31"/>
    <mergeCell ref="A32:A36"/>
    <mergeCell ref="B32:B36"/>
    <mergeCell ref="C32:D32"/>
    <mergeCell ref="C33:D33"/>
    <mergeCell ref="C34:D34"/>
    <mergeCell ref="C35:D35"/>
    <mergeCell ref="C36:D36"/>
    <mergeCell ref="C27:D27"/>
    <mergeCell ref="C28:D28"/>
    <mergeCell ref="A29:A30"/>
    <mergeCell ref="B29:B30"/>
    <mergeCell ref="C29:D29"/>
    <mergeCell ref="C30:D30"/>
    <mergeCell ref="C42:D42"/>
    <mergeCell ref="A43:A45"/>
    <mergeCell ref="B43:B45"/>
    <mergeCell ref="C43:D43"/>
    <mergeCell ref="C44:D44"/>
    <mergeCell ref="C45:D45"/>
    <mergeCell ref="C37:D37"/>
    <mergeCell ref="A38:A39"/>
    <mergeCell ref="B38:B39"/>
    <mergeCell ref="C38:D38"/>
    <mergeCell ref="C39:D39"/>
    <mergeCell ref="A40:A41"/>
    <mergeCell ref="B40:B41"/>
    <mergeCell ref="C40:D40"/>
    <mergeCell ref="C41:D41"/>
    <mergeCell ref="C46:D46"/>
    <mergeCell ref="A47:A54"/>
    <mergeCell ref="B47:B54"/>
    <mergeCell ref="C47:D47"/>
    <mergeCell ref="C48:D48"/>
    <mergeCell ref="C49:D49"/>
    <mergeCell ref="C50:D50"/>
    <mergeCell ref="C51:D51"/>
    <mergeCell ref="C52:D52"/>
    <mergeCell ref="C53:D53"/>
    <mergeCell ref="C58:D58"/>
    <mergeCell ref="A59:A61"/>
    <mergeCell ref="B59:B61"/>
    <mergeCell ref="C59:D59"/>
    <mergeCell ref="C60:D60"/>
    <mergeCell ref="C61:D61"/>
    <mergeCell ref="C54:D54"/>
    <mergeCell ref="A55:A57"/>
    <mergeCell ref="B55:B57"/>
    <mergeCell ref="C55:D55"/>
    <mergeCell ref="C56:D56"/>
    <mergeCell ref="C57:D57"/>
    <mergeCell ref="C68:D68"/>
    <mergeCell ref="C69:D69"/>
    <mergeCell ref="C70:D70"/>
    <mergeCell ref="C71:D71"/>
    <mergeCell ref="C72:D72"/>
    <mergeCell ref="C73:D73"/>
    <mergeCell ref="C62:D62"/>
    <mergeCell ref="C63:D63"/>
    <mergeCell ref="C64:D64"/>
    <mergeCell ref="C65:D65"/>
    <mergeCell ref="C66:D66"/>
    <mergeCell ref="C67:D67"/>
    <mergeCell ref="A81:D81"/>
    <mergeCell ref="A82:D82"/>
    <mergeCell ref="A83:D83"/>
    <mergeCell ref="A84:D84"/>
    <mergeCell ref="A85:D85"/>
    <mergeCell ref="A86:D86"/>
    <mergeCell ref="C74:D74"/>
    <mergeCell ref="C75:D75"/>
    <mergeCell ref="C76:D76"/>
    <mergeCell ref="C77:D77"/>
    <mergeCell ref="A79:D79"/>
    <mergeCell ref="A80:D80"/>
    <mergeCell ref="A93:D93"/>
    <mergeCell ref="A94:D94"/>
    <mergeCell ref="A95:D95"/>
    <mergeCell ref="A96:D96"/>
    <mergeCell ref="A97:D97"/>
    <mergeCell ref="A99:D99"/>
    <mergeCell ref="A87:D87"/>
    <mergeCell ref="A88:D88"/>
    <mergeCell ref="A89:D89"/>
    <mergeCell ref="A90:D90"/>
    <mergeCell ref="A91:D91"/>
    <mergeCell ref="A92:D92"/>
    <mergeCell ref="A98:D98"/>
    <mergeCell ref="A107:A110"/>
    <mergeCell ref="B107:B110"/>
    <mergeCell ref="C107:D107"/>
    <mergeCell ref="C108:D108"/>
    <mergeCell ref="C109:D109"/>
    <mergeCell ref="C110:D110"/>
    <mergeCell ref="A101:D101"/>
    <mergeCell ref="C102:D102"/>
    <mergeCell ref="C103:D103"/>
    <mergeCell ref="C104:D104"/>
    <mergeCell ref="C105:D105"/>
    <mergeCell ref="C106:D106"/>
    <mergeCell ref="A121:A122"/>
    <mergeCell ref="B121:B122"/>
    <mergeCell ref="C121:D121"/>
    <mergeCell ref="C122:D122"/>
    <mergeCell ref="A111:A118"/>
    <mergeCell ref="B111:B118"/>
    <mergeCell ref="C111:D111"/>
    <mergeCell ref="C112:D112"/>
    <mergeCell ref="C113:D113"/>
    <mergeCell ref="C114:D114"/>
    <mergeCell ref="C115:D115"/>
    <mergeCell ref="C116:D116"/>
    <mergeCell ref="C117:D117"/>
    <mergeCell ref="C118:D118"/>
    <mergeCell ref="C129:D129"/>
    <mergeCell ref="C130:D130"/>
    <mergeCell ref="C123:D123"/>
    <mergeCell ref="C124:D124"/>
    <mergeCell ref="C125:D125"/>
    <mergeCell ref="C126:D126"/>
    <mergeCell ref="C127:D127"/>
    <mergeCell ref="C128:D128"/>
    <mergeCell ref="C119:D119"/>
    <mergeCell ref="C120:D120"/>
  </mergeCells>
  <conditionalFormatting sqref="C64">
    <cfRule type="expression" dxfId="230" priority="41">
      <formula>#REF!="NO"</formula>
    </cfRule>
  </conditionalFormatting>
  <conditionalFormatting sqref="C43:D45 C58:E58 E98:F98">
    <cfRule type="expression" dxfId="229" priority="33">
      <formula>$F$2="NO"</formula>
    </cfRule>
  </conditionalFormatting>
  <conditionalFormatting sqref="C59:D61">
    <cfRule type="expression" dxfId="228" priority="18">
      <formula>$F$2="NO"</formula>
    </cfRule>
  </conditionalFormatting>
  <conditionalFormatting sqref="C28:E42">
    <cfRule type="expression" dxfId="227" priority="35">
      <formula>#REF!="NO"</formula>
    </cfRule>
  </conditionalFormatting>
  <conditionalFormatting sqref="C46:E57 F62:F65 F67:F70 F72 F74:F75 F77 E81:E97 E99">
    <cfRule type="expression" dxfId="226" priority="32">
      <formula>#REF!="NO"</formula>
    </cfRule>
  </conditionalFormatting>
  <conditionalFormatting sqref="C62:E77">
    <cfRule type="expression" dxfId="225" priority="38">
      <formula>#REF!="NO"</formula>
    </cfRule>
  </conditionalFormatting>
  <conditionalFormatting sqref="C103:E127">
    <cfRule type="expression" dxfId="224" priority="36">
      <formula>#REF!="NO"</formula>
    </cfRule>
  </conditionalFormatting>
  <conditionalFormatting sqref="C129:E130">
    <cfRule type="expression" dxfId="223" priority="42">
      <formula>#REF!="NO"</formula>
    </cfRule>
  </conditionalFormatting>
  <conditionalFormatting sqref="E43:E45">
    <cfRule type="expression" dxfId="222" priority="34">
      <formula>#REF!="NO"</formula>
    </cfRule>
  </conditionalFormatting>
  <conditionalFormatting sqref="E58:E61">
    <cfRule type="expression" dxfId="221" priority="21">
      <formula>#REF!="NO"</formula>
    </cfRule>
  </conditionalFormatting>
  <conditionalFormatting sqref="F8:F10">
    <cfRule type="expression" dxfId="220" priority="2">
      <formula>#REF!="NO"</formula>
    </cfRule>
  </conditionalFormatting>
  <conditionalFormatting sqref="F12:F19">
    <cfRule type="expression" dxfId="219" priority="1">
      <formula>#REF!="NO"</formula>
    </cfRule>
  </conditionalFormatting>
  <conditionalFormatting sqref="F23">
    <cfRule type="expression" dxfId="218" priority="26">
      <formula>$F$2="NO"</formula>
    </cfRule>
  </conditionalFormatting>
  <conditionalFormatting sqref="F23:F24">
    <cfRule type="expression" dxfId="217" priority="27">
      <formula>#REF!="NO"</formula>
    </cfRule>
  </conditionalFormatting>
  <conditionalFormatting sqref="F28:F30">
    <cfRule type="expression" dxfId="216" priority="25">
      <formula>$F$2="NO"</formula>
    </cfRule>
  </conditionalFormatting>
  <conditionalFormatting sqref="F31 F37 F42 F45:F46">
    <cfRule type="expression" dxfId="215" priority="30">
      <formula>#REF!="NO"</formula>
    </cfRule>
  </conditionalFormatting>
  <conditionalFormatting sqref="F32:F36">
    <cfRule type="expression" dxfId="214" priority="24">
      <formula>$F$2="NO"</formula>
    </cfRule>
  </conditionalFormatting>
  <conditionalFormatting sqref="F38:F41">
    <cfRule type="expression" dxfId="213" priority="23">
      <formula>$F$2="NO"</formula>
    </cfRule>
  </conditionalFormatting>
  <conditionalFormatting sqref="F43:F44">
    <cfRule type="expression" dxfId="212" priority="22">
      <formula>$F$2="NO"</formula>
    </cfRule>
  </conditionalFormatting>
  <conditionalFormatting sqref="F47:F61">
    <cfRule type="expression" dxfId="211" priority="19">
      <formula>$F$2="NO"</formula>
    </cfRule>
  </conditionalFormatting>
  <conditionalFormatting sqref="F58">
    <cfRule type="expression" dxfId="210" priority="20">
      <formula>#REF!="NO"</formula>
    </cfRule>
  </conditionalFormatting>
  <conditionalFormatting sqref="F66">
    <cfRule type="expression" dxfId="209" priority="17">
      <formula>$F$2="NO"</formula>
    </cfRule>
  </conditionalFormatting>
  <conditionalFormatting sqref="F71">
    <cfRule type="expression" dxfId="208" priority="16">
      <formula>$F$2="NO"</formula>
    </cfRule>
  </conditionalFormatting>
  <conditionalFormatting sqref="F73">
    <cfRule type="expression" dxfId="207" priority="15">
      <formula>$F$2="NO"</formula>
    </cfRule>
  </conditionalFormatting>
  <conditionalFormatting sqref="F76">
    <cfRule type="expression" dxfId="206" priority="14">
      <formula>$F$2="NO"</formula>
    </cfRule>
  </conditionalFormatting>
  <conditionalFormatting sqref="F81:F84">
    <cfRule type="expression" dxfId="205" priority="13">
      <formula>$F$2="NO"</formula>
    </cfRule>
  </conditionalFormatting>
  <conditionalFormatting sqref="F85:F86 F89 F94:F95">
    <cfRule type="expression" dxfId="204" priority="29">
      <formula>#REF!="NO"</formula>
    </cfRule>
  </conditionalFormatting>
  <conditionalFormatting sqref="F87:F88">
    <cfRule type="expression" dxfId="203" priority="8">
      <formula>$F$2="NO"</formula>
    </cfRule>
  </conditionalFormatting>
  <conditionalFormatting sqref="F90:F91 F93">
    <cfRule type="expression" dxfId="202" priority="12">
      <formula>$F$2="NO"</formula>
    </cfRule>
  </conditionalFormatting>
  <conditionalFormatting sqref="F92">
    <cfRule type="expression" dxfId="201" priority="11">
      <formula>#REF!="NO"</formula>
    </cfRule>
  </conditionalFormatting>
  <conditionalFormatting sqref="F96:F97">
    <cfRule type="expression" dxfId="200" priority="10">
      <formula>$F$2="NO"</formula>
    </cfRule>
  </conditionalFormatting>
  <conditionalFormatting sqref="F99">
    <cfRule type="expression" dxfId="199" priority="9">
      <formula>$F$2="NO"</formula>
    </cfRule>
  </conditionalFormatting>
  <conditionalFormatting sqref="F103">
    <cfRule type="expression" dxfId="198" priority="7">
      <formula>$F$2="NO"</formula>
    </cfRule>
  </conditionalFormatting>
  <conditionalFormatting sqref="F104:F105 F111:F118 F124:F126 C128:F128 F130">
    <cfRule type="expression" dxfId="197" priority="28">
      <formula>#REF!="NO"</formula>
    </cfRule>
  </conditionalFormatting>
  <conditionalFormatting sqref="F106:F110">
    <cfRule type="expression" dxfId="196" priority="6">
      <formula>$F$2="NO"</formula>
    </cfRule>
  </conditionalFormatting>
  <conditionalFormatting sqref="F119:F123">
    <cfRule type="expression" dxfId="195" priority="5">
      <formula>$F$2="NO"</formula>
    </cfRule>
  </conditionalFormatting>
  <conditionalFormatting sqref="F127">
    <cfRule type="expression" dxfId="194" priority="4">
      <formula>$F$2="NO"</formula>
    </cfRule>
  </conditionalFormatting>
  <conditionalFormatting sqref="F129">
    <cfRule type="expression" dxfId="193" priority="3">
      <formula>$F$2="NO"</formula>
    </cfRule>
  </conditionalFormatting>
  <dataValidations count="3">
    <dataValidation type="decimal" operator="greaterThanOrEqual" allowBlank="1" showInputMessage="1" showErrorMessage="1" error="The Pickup Allowance cannot be a negative number." sqref="F18" xr:uid="{B4F1293D-BC04-4214-8E50-9E8CDC08AAF0}">
      <formula1>0</formula1>
    </dataValidation>
    <dataValidation type="decimal" allowBlank="1" showInputMessage="1" showErrorMessage="1" error="Invalid Entry - Bidder must enter a value that is greater than $0" sqref="F23" xr:uid="{10A6C72D-E8FF-4D27-B8FE-E5D6864DB964}">
      <formula1>0</formula1>
      <formula2>9E+21</formula2>
    </dataValidation>
    <dataValidation type="decimal" allowBlank="1" showInputMessage="1" showErrorMessage="1" error="The Additional Options NYS Discount entered must be greater than 0%, or less than or equal to 100%." sqref="F24" xr:uid="{2179E5E5-B3E6-43AF-ADA7-49AAD83E3754}">
      <formula1>0.01</formula1>
      <formula2>100</formula2>
    </dataValidation>
  </dataValidations>
  <pageMargins left="0.25" right="0.25" top="0.5" bottom="0.25" header="0.3" footer="0.3"/>
  <pageSetup scale="72" fitToHeight="0" orientation="landscape" r:id="rId1"/>
  <rowBreaks count="1" manualBreakCount="1">
    <brk id="7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BBFF-0B86-4198-B187-2386FC41C559}">
  <sheetPr>
    <tabColor theme="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87" customWidth="1"/>
    <col min="7" max="8" width="21.28515625" style="210" customWidth="1"/>
    <col min="9" max="16384" width="9.140625" style="2"/>
  </cols>
  <sheetData>
    <row r="1" spans="1:8" ht="18" customHeight="1" x14ac:dyDescent="0.2">
      <c r="A1" s="165" t="str">
        <f>'A (Item 2-G)'!$A$1</f>
        <v>GROUP 40524-23254, SCHOOL BUSES (Statewide)                                                             Attachment 1 - Specifications and Pricing (Revised October 15, 2026)</v>
      </c>
      <c r="F1" s="210"/>
    </row>
    <row r="2" spans="1:8" s="25" customFormat="1" ht="18" customHeight="1" thickBot="1" x14ac:dyDescent="0.3">
      <c r="A2" s="316" t="str">
        <f>'Attachment 1 - Summary'!B2</f>
        <v>PC69864 New York Bus Sales, LLC</v>
      </c>
      <c r="B2" s="26"/>
      <c r="C2" s="26"/>
      <c r="D2" s="26"/>
      <c r="E2" s="26"/>
      <c r="F2" s="314"/>
      <c r="G2" s="316"/>
      <c r="H2" s="316"/>
    </row>
    <row r="3" spans="1:8" ht="24" thickBot="1" x14ac:dyDescent="0.25">
      <c r="A3" s="437" t="s">
        <v>545</v>
      </c>
      <c r="B3" s="438"/>
      <c r="C3" s="438"/>
      <c r="D3" s="439"/>
      <c r="E3" s="9"/>
      <c r="F3" s="312"/>
    </row>
    <row r="4" spans="1:8" ht="51" customHeight="1" thickBot="1" x14ac:dyDescent="0.25">
      <c r="A4" s="343" t="s">
        <v>264</v>
      </c>
      <c r="B4" s="344"/>
      <c r="C4" s="344"/>
      <c r="D4" s="345"/>
      <c r="E4" s="9"/>
      <c r="F4" s="312"/>
    </row>
    <row r="5" spans="1:8" s="4" customFormat="1" ht="11.25" customHeight="1" thickBot="1" x14ac:dyDescent="0.3">
      <c r="A5" s="57"/>
      <c r="B5" s="57"/>
      <c r="C5" s="57"/>
      <c r="D5" s="57"/>
      <c r="E5" s="57"/>
      <c r="F5" s="313"/>
      <c r="G5" s="224"/>
      <c r="H5" s="224"/>
    </row>
    <row r="6" spans="1:8" s="8" customFormat="1" ht="16.5" thickBot="1" x14ac:dyDescent="0.25">
      <c r="A6" s="346" t="s">
        <v>151</v>
      </c>
      <c r="B6" s="347"/>
      <c r="C6" s="347"/>
      <c r="D6" s="348"/>
      <c r="E6" s="36"/>
      <c r="F6" s="417" t="s">
        <v>420</v>
      </c>
      <c r="G6" s="418"/>
      <c r="H6" s="419"/>
    </row>
    <row r="7" spans="1:8" s="4" customFormat="1" ht="15" customHeight="1" thickBot="1" x14ac:dyDescent="0.3">
      <c r="A7" s="41" t="s">
        <v>6</v>
      </c>
      <c r="B7" s="27" t="s">
        <v>165</v>
      </c>
      <c r="C7" s="32"/>
      <c r="D7" s="40"/>
      <c r="E7" s="37"/>
      <c r="F7" s="216" t="s">
        <v>19</v>
      </c>
      <c r="G7" s="217" t="s">
        <v>248</v>
      </c>
      <c r="H7" s="218" t="s">
        <v>269</v>
      </c>
    </row>
    <row r="8" spans="1:8" ht="65.25" thickTop="1" thickBot="1" x14ac:dyDescent="0.25">
      <c r="A8" s="42" t="s">
        <v>9</v>
      </c>
      <c r="B8" s="337" t="s">
        <v>152</v>
      </c>
      <c r="C8" s="338"/>
      <c r="D8" s="339"/>
      <c r="E8" s="13"/>
      <c r="F8" s="167" t="s">
        <v>419</v>
      </c>
      <c r="G8" s="167" t="s">
        <v>416</v>
      </c>
      <c r="H8" s="167" t="s">
        <v>416</v>
      </c>
    </row>
    <row r="9" spans="1:8" s="8" customFormat="1" ht="44.25" customHeight="1" thickTop="1" thickBot="1" x14ac:dyDescent="0.25">
      <c r="A9" s="42" t="s">
        <v>136</v>
      </c>
      <c r="B9" s="337" t="s">
        <v>191</v>
      </c>
      <c r="C9" s="338"/>
      <c r="D9" s="339"/>
      <c r="E9" s="13"/>
      <c r="F9" s="167" t="s">
        <v>451</v>
      </c>
      <c r="G9" s="172" t="s">
        <v>451</v>
      </c>
      <c r="H9" s="172" t="s">
        <v>451</v>
      </c>
    </row>
    <row r="10" spans="1:8" ht="12.75" customHeight="1" thickTop="1" x14ac:dyDescent="0.2">
      <c r="A10" s="43" t="s">
        <v>0</v>
      </c>
      <c r="B10" s="328" t="s">
        <v>154</v>
      </c>
      <c r="C10" s="329"/>
      <c r="D10" s="330"/>
      <c r="E10" s="13"/>
      <c r="F10" s="169" t="s">
        <v>420</v>
      </c>
      <c r="G10" s="220" t="s">
        <v>420</v>
      </c>
      <c r="H10" s="220" t="s">
        <v>420</v>
      </c>
    </row>
    <row r="11" spans="1:8" x14ac:dyDescent="0.2">
      <c r="A11" s="43" t="s">
        <v>1</v>
      </c>
      <c r="B11" s="328" t="s">
        <v>153</v>
      </c>
      <c r="C11" s="329"/>
      <c r="D11" s="330"/>
      <c r="E11" s="13"/>
      <c r="F11" s="169" t="s">
        <v>421</v>
      </c>
      <c r="G11" s="220" t="s">
        <v>421</v>
      </c>
      <c r="H11" s="220" t="s">
        <v>421</v>
      </c>
    </row>
    <row r="12" spans="1:8" ht="15" customHeight="1" thickBot="1" x14ac:dyDescent="0.25">
      <c r="A12" s="44" t="s">
        <v>2</v>
      </c>
      <c r="B12" s="331" t="s">
        <v>155</v>
      </c>
      <c r="C12" s="332"/>
      <c r="D12" s="333"/>
      <c r="E12" s="13"/>
      <c r="F12" s="170">
        <v>2610</v>
      </c>
      <c r="G12" s="221">
        <v>2610</v>
      </c>
      <c r="H12" s="221">
        <v>2610</v>
      </c>
    </row>
    <row r="13" spans="1:8" ht="13.5" thickTop="1" x14ac:dyDescent="0.2">
      <c r="A13" s="43" t="s">
        <v>3</v>
      </c>
      <c r="B13" s="328" t="s">
        <v>157</v>
      </c>
      <c r="C13" s="329"/>
      <c r="D13" s="330"/>
      <c r="E13" s="13"/>
      <c r="F13" s="169" t="s">
        <v>420</v>
      </c>
      <c r="G13" s="220" t="s">
        <v>420</v>
      </c>
      <c r="H13" s="220" t="s">
        <v>420</v>
      </c>
    </row>
    <row r="14" spans="1:8" x14ac:dyDescent="0.2">
      <c r="A14" s="43" t="s">
        <v>4</v>
      </c>
      <c r="B14" s="328" t="s">
        <v>156</v>
      </c>
      <c r="C14" s="329"/>
      <c r="D14" s="330"/>
      <c r="E14" s="13"/>
      <c r="F14" s="169" t="s">
        <v>422</v>
      </c>
      <c r="G14" s="220" t="s">
        <v>422</v>
      </c>
      <c r="H14" s="220" t="s">
        <v>422</v>
      </c>
    </row>
    <row r="15" spans="1:8" ht="15.75" customHeight="1" thickBot="1" x14ac:dyDescent="0.25">
      <c r="A15" s="45" t="s">
        <v>5</v>
      </c>
      <c r="B15" s="331" t="s">
        <v>158</v>
      </c>
      <c r="C15" s="332"/>
      <c r="D15" s="333"/>
      <c r="E15" s="13"/>
      <c r="F15" s="172">
        <v>2610</v>
      </c>
      <c r="G15" s="221">
        <v>2610</v>
      </c>
      <c r="H15" s="221">
        <v>2610</v>
      </c>
    </row>
    <row r="16" spans="1:8" ht="29.25" customHeight="1" thickTop="1" x14ac:dyDescent="0.2">
      <c r="A16" s="43" t="s">
        <v>101</v>
      </c>
      <c r="B16" s="334" t="s">
        <v>160</v>
      </c>
      <c r="C16" s="335"/>
      <c r="D16" s="336"/>
      <c r="E16" s="13"/>
      <c r="F16" s="173">
        <v>100</v>
      </c>
      <c r="G16" s="222">
        <v>100</v>
      </c>
      <c r="H16" s="222">
        <v>100</v>
      </c>
    </row>
    <row r="17" spans="1:8" ht="30.75" customHeight="1" thickBot="1" x14ac:dyDescent="0.25">
      <c r="A17" s="45" t="s">
        <v>43</v>
      </c>
      <c r="B17" s="331" t="s">
        <v>159</v>
      </c>
      <c r="C17" s="332"/>
      <c r="D17" s="333"/>
      <c r="E17" s="13"/>
      <c r="F17" s="172" t="s">
        <v>334</v>
      </c>
      <c r="G17" s="172" t="s">
        <v>334</v>
      </c>
      <c r="H17" s="172" t="s">
        <v>334</v>
      </c>
    </row>
    <row r="18" spans="1:8" s="10" customFormat="1" ht="14.25" thickTop="1" thickBot="1" x14ac:dyDescent="0.25">
      <c r="C18" s="11"/>
      <c r="D18" s="11"/>
      <c r="E18" s="11"/>
      <c r="F18" s="175"/>
      <c r="G18" s="224"/>
      <c r="H18" s="224"/>
    </row>
    <row r="19" spans="1:8" s="12" customFormat="1" ht="16.5" thickBot="1" x14ac:dyDescent="0.25">
      <c r="A19" s="346" t="s">
        <v>150</v>
      </c>
      <c r="B19" s="347"/>
      <c r="C19" s="347"/>
      <c r="D19" s="348"/>
      <c r="E19" s="36"/>
      <c r="F19" s="417" t="s">
        <v>420</v>
      </c>
      <c r="G19" s="418"/>
      <c r="H19" s="419"/>
    </row>
    <row r="20" spans="1:8" s="4" customFormat="1" ht="15" customHeight="1" thickBot="1" x14ac:dyDescent="0.3">
      <c r="A20" s="55" t="s">
        <v>6</v>
      </c>
      <c r="B20" s="31" t="s">
        <v>165</v>
      </c>
      <c r="C20" s="33"/>
      <c r="D20" s="48"/>
      <c r="E20" s="37"/>
      <c r="F20" s="216" t="s">
        <v>19</v>
      </c>
      <c r="G20" s="217" t="s">
        <v>248</v>
      </c>
      <c r="H20" s="218" t="s">
        <v>269</v>
      </c>
    </row>
    <row r="21" spans="1:8" ht="56.25" customHeight="1" x14ac:dyDescent="0.2">
      <c r="A21" s="46" t="s">
        <v>42</v>
      </c>
      <c r="B21" s="349" t="s">
        <v>161</v>
      </c>
      <c r="C21" s="350"/>
      <c r="D21" s="351"/>
      <c r="E21" s="13"/>
      <c r="F21" s="197">
        <f>131100*('PPI Adj'!D6)</f>
        <v>152993.70000000001</v>
      </c>
      <c r="G21" s="235">
        <f>128200*('PPI Adj'!D6)</f>
        <v>149609.4</v>
      </c>
      <c r="H21" s="235">
        <f>138300*('PPI Adj'!D6)</f>
        <v>161396.1</v>
      </c>
    </row>
    <row r="22" spans="1:8" ht="26.1" customHeight="1" thickBot="1" x14ac:dyDescent="0.25">
      <c r="A22" s="47" t="s">
        <v>41</v>
      </c>
      <c r="B22" s="370" t="s">
        <v>163</v>
      </c>
      <c r="C22" s="371"/>
      <c r="D22" s="372"/>
      <c r="E22" s="1"/>
      <c r="F22" s="179">
        <v>22</v>
      </c>
      <c r="G22" s="226">
        <v>22</v>
      </c>
      <c r="H22" s="226">
        <v>22</v>
      </c>
    </row>
    <row r="23" spans="1:8" ht="13.5" thickBot="1" x14ac:dyDescent="0.25">
      <c r="A23" s="58"/>
      <c r="B23" s="1"/>
      <c r="C23" s="1"/>
      <c r="D23" s="1"/>
      <c r="E23" s="1"/>
      <c r="F23" s="180"/>
      <c r="G23" s="212"/>
      <c r="H23" s="212"/>
    </row>
    <row r="24" spans="1:8" s="8" customFormat="1" ht="16.5" thickBot="1" x14ac:dyDescent="0.25">
      <c r="A24" s="373" t="s">
        <v>164</v>
      </c>
      <c r="B24" s="374"/>
      <c r="C24" s="374"/>
      <c r="D24" s="375"/>
      <c r="E24" s="38"/>
      <c r="F24" s="417" t="s">
        <v>420</v>
      </c>
      <c r="G24" s="418"/>
      <c r="H24" s="419"/>
    </row>
    <row r="25" spans="1:8" s="3" customFormat="1" ht="15" customHeight="1" thickBot="1" x14ac:dyDescent="0.3">
      <c r="A25" s="55" t="s">
        <v>6</v>
      </c>
      <c r="B25" s="56" t="s">
        <v>7</v>
      </c>
      <c r="C25" s="376" t="s">
        <v>165</v>
      </c>
      <c r="D25" s="377"/>
      <c r="E25" s="39"/>
      <c r="F25" s="216" t="s">
        <v>19</v>
      </c>
      <c r="G25" s="217" t="s">
        <v>248</v>
      </c>
      <c r="H25" s="218" t="s">
        <v>269</v>
      </c>
    </row>
    <row r="26" spans="1:8" s="13" customFormat="1" ht="81.599999999999994" customHeight="1" thickBot="1" x14ac:dyDescent="0.3">
      <c r="A26" s="49" t="s">
        <v>8</v>
      </c>
      <c r="B26" s="29" t="s">
        <v>259</v>
      </c>
      <c r="C26" s="352" t="s">
        <v>118</v>
      </c>
      <c r="D26" s="353"/>
      <c r="E26" s="34"/>
      <c r="F26" s="174">
        <v>29000</v>
      </c>
      <c r="G26" s="174">
        <v>29000</v>
      </c>
      <c r="H26" s="174">
        <v>29000</v>
      </c>
    </row>
    <row r="27" spans="1:8" s="13" customFormat="1" x14ac:dyDescent="0.25">
      <c r="A27" s="354" t="s">
        <v>21</v>
      </c>
      <c r="B27" s="356" t="s">
        <v>263</v>
      </c>
      <c r="C27" s="358" t="s">
        <v>67</v>
      </c>
      <c r="D27" s="359"/>
      <c r="E27" s="34"/>
      <c r="F27" s="183">
        <v>8</v>
      </c>
      <c r="G27" s="183">
        <v>8</v>
      </c>
      <c r="H27" s="183">
        <v>8</v>
      </c>
    </row>
    <row r="28" spans="1:8" s="13" customFormat="1" ht="13.5" thickBot="1" x14ac:dyDescent="0.3">
      <c r="A28" s="355"/>
      <c r="B28" s="357"/>
      <c r="C28" s="352" t="s">
        <v>68</v>
      </c>
      <c r="D28" s="353"/>
      <c r="E28" s="34"/>
      <c r="F28" s="174">
        <v>48</v>
      </c>
      <c r="G28" s="174">
        <v>48</v>
      </c>
      <c r="H28" s="174">
        <v>48</v>
      </c>
    </row>
    <row r="29" spans="1:8" s="13" customFormat="1" ht="13.5" thickBot="1" x14ac:dyDescent="0.3">
      <c r="A29" s="50" t="s">
        <v>123</v>
      </c>
      <c r="B29" s="30" t="s">
        <v>108</v>
      </c>
      <c r="C29" s="368"/>
      <c r="D29" s="369"/>
      <c r="E29" s="35"/>
      <c r="F29" s="184"/>
      <c r="G29" s="184"/>
      <c r="H29" s="184"/>
    </row>
    <row r="30" spans="1:8" s="13" customFormat="1" x14ac:dyDescent="0.25">
      <c r="A30" s="354" t="s">
        <v>59</v>
      </c>
      <c r="B30" s="356"/>
      <c r="C30" s="358" t="s">
        <v>58</v>
      </c>
      <c r="D30" s="359"/>
      <c r="E30" s="34"/>
      <c r="F30" s="183" t="s">
        <v>452</v>
      </c>
      <c r="G30" s="183" t="s">
        <v>452</v>
      </c>
      <c r="H30" s="183" t="s">
        <v>452</v>
      </c>
    </row>
    <row r="31" spans="1:8" s="13" customFormat="1" x14ac:dyDescent="0.25">
      <c r="A31" s="362"/>
      <c r="B31" s="363"/>
      <c r="C31" s="364" t="s">
        <v>57</v>
      </c>
      <c r="D31" s="365"/>
      <c r="E31" s="34"/>
      <c r="F31" s="169" t="s">
        <v>453</v>
      </c>
      <c r="G31" s="169" t="s">
        <v>453</v>
      </c>
      <c r="H31" s="169" t="s">
        <v>453</v>
      </c>
    </row>
    <row r="32" spans="1:8" s="13" customFormat="1" x14ac:dyDescent="0.25">
      <c r="A32" s="362"/>
      <c r="B32" s="363"/>
      <c r="C32" s="364" t="s">
        <v>69</v>
      </c>
      <c r="D32" s="365"/>
      <c r="E32" s="34"/>
      <c r="F32" s="169" t="s">
        <v>423</v>
      </c>
      <c r="G32" s="169" t="s">
        <v>423</v>
      </c>
      <c r="H32" s="169" t="s">
        <v>423</v>
      </c>
    </row>
    <row r="33" spans="1:8" s="13" customFormat="1" x14ac:dyDescent="0.25">
      <c r="A33" s="362"/>
      <c r="B33" s="363"/>
      <c r="C33" s="366" t="s">
        <v>70</v>
      </c>
      <c r="D33" s="367"/>
      <c r="E33" s="34"/>
      <c r="F33" s="169" t="s">
        <v>424</v>
      </c>
      <c r="G33" s="169" t="s">
        <v>424</v>
      </c>
      <c r="H33" s="169" t="s">
        <v>424</v>
      </c>
    </row>
    <row r="34" spans="1:8" s="13" customFormat="1" ht="13.5" thickBot="1" x14ac:dyDescent="0.3">
      <c r="A34" s="355"/>
      <c r="B34" s="357"/>
      <c r="C34" s="352" t="s">
        <v>111</v>
      </c>
      <c r="D34" s="353"/>
      <c r="E34" s="34"/>
      <c r="F34" s="174" t="s">
        <v>454</v>
      </c>
      <c r="G34" s="174" t="s">
        <v>454</v>
      </c>
      <c r="H34" s="174" t="s">
        <v>454</v>
      </c>
    </row>
    <row r="35" spans="1:8" s="13" customFormat="1" ht="17.45" customHeight="1" thickBot="1" x14ac:dyDescent="0.3">
      <c r="A35" s="50" t="s">
        <v>224</v>
      </c>
      <c r="B35" s="30" t="s">
        <v>223</v>
      </c>
      <c r="C35" s="368"/>
      <c r="D35" s="369"/>
      <c r="E35" s="35"/>
      <c r="F35" s="184"/>
      <c r="G35" s="184"/>
      <c r="H35" s="184"/>
    </row>
    <row r="36" spans="1:8" s="13" customFormat="1" x14ac:dyDescent="0.25">
      <c r="A36" s="354" t="s">
        <v>11</v>
      </c>
      <c r="B36" s="356"/>
      <c r="C36" s="358" t="s">
        <v>24</v>
      </c>
      <c r="D36" s="359"/>
      <c r="E36" s="34"/>
      <c r="F36" s="183">
        <v>10000</v>
      </c>
      <c r="G36" s="183">
        <v>10000</v>
      </c>
      <c r="H36" s="183">
        <v>10000</v>
      </c>
    </row>
    <row r="37" spans="1:8" s="13" customFormat="1" ht="13.5" thickBot="1" x14ac:dyDescent="0.3">
      <c r="A37" s="355"/>
      <c r="B37" s="357"/>
      <c r="C37" s="352" t="s">
        <v>22</v>
      </c>
      <c r="D37" s="353"/>
      <c r="E37" s="34"/>
      <c r="F37" s="174">
        <v>12000</v>
      </c>
      <c r="G37" s="174">
        <v>12000</v>
      </c>
      <c r="H37" s="174">
        <v>12000</v>
      </c>
    </row>
    <row r="38" spans="1:8" s="13" customFormat="1" x14ac:dyDescent="0.25">
      <c r="A38" s="354" t="s">
        <v>16</v>
      </c>
      <c r="B38" s="356"/>
      <c r="C38" s="358" t="s">
        <v>24</v>
      </c>
      <c r="D38" s="359"/>
      <c r="E38" s="34"/>
      <c r="F38" s="183">
        <v>19000</v>
      </c>
      <c r="G38" s="183">
        <v>19000</v>
      </c>
      <c r="H38" s="183">
        <v>19000</v>
      </c>
    </row>
    <row r="39" spans="1:8" s="13" customFormat="1" ht="13.5" thickBot="1" x14ac:dyDescent="0.3">
      <c r="A39" s="355"/>
      <c r="B39" s="357"/>
      <c r="C39" s="360" t="s">
        <v>23</v>
      </c>
      <c r="D39" s="361"/>
      <c r="E39" s="34"/>
      <c r="F39" s="174">
        <v>21000</v>
      </c>
      <c r="G39" s="174">
        <v>21000</v>
      </c>
      <c r="H39" s="174">
        <v>21000</v>
      </c>
    </row>
    <row r="40" spans="1:8" s="13" customFormat="1" ht="13.5" thickBot="1" x14ac:dyDescent="0.3">
      <c r="A40" s="50" t="s">
        <v>52</v>
      </c>
      <c r="B40" s="30" t="s">
        <v>53</v>
      </c>
      <c r="C40" s="368"/>
      <c r="D40" s="369"/>
      <c r="E40" s="35"/>
      <c r="F40" s="184"/>
      <c r="G40" s="184"/>
      <c r="H40" s="184"/>
    </row>
    <row r="41" spans="1:8" s="13" customFormat="1" x14ac:dyDescent="0.25">
      <c r="A41" s="354" t="s">
        <v>219</v>
      </c>
      <c r="B41" s="356" t="s">
        <v>222</v>
      </c>
      <c r="C41" s="358" t="s">
        <v>221</v>
      </c>
      <c r="D41" s="359"/>
      <c r="E41" s="34"/>
      <c r="F41" s="183" t="s">
        <v>257</v>
      </c>
      <c r="G41" s="183" t="s">
        <v>257</v>
      </c>
      <c r="H41" s="183" t="s">
        <v>257</v>
      </c>
    </row>
    <row r="42" spans="1:8" s="13" customFormat="1" ht="14.45" customHeight="1" x14ac:dyDescent="0.25">
      <c r="A42" s="362"/>
      <c r="B42" s="363"/>
      <c r="C42" s="364" t="s">
        <v>220</v>
      </c>
      <c r="D42" s="365"/>
      <c r="E42" s="34"/>
      <c r="F42" s="169" t="s">
        <v>425</v>
      </c>
      <c r="G42" s="169" t="s">
        <v>425</v>
      </c>
      <c r="H42" s="169" t="s">
        <v>425</v>
      </c>
    </row>
    <row r="43" spans="1:8" s="13" customFormat="1" ht="94.5" customHeight="1" thickBot="1" x14ac:dyDescent="0.3">
      <c r="A43" s="355"/>
      <c r="B43" s="363"/>
      <c r="C43" s="360"/>
      <c r="D43" s="361"/>
      <c r="E43" s="34"/>
      <c r="F43" s="171"/>
      <c r="G43" s="171"/>
      <c r="H43" s="171"/>
    </row>
    <row r="44" spans="1:8" s="13" customFormat="1" ht="29.45" customHeight="1" thickBot="1" x14ac:dyDescent="0.3">
      <c r="A44" s="50" t="s">
        <v>219</v>
      </c>
      <c r="B44" s="30" t="s">
        <v>218</v>
      </c>
      <c r="C44" s="368"/>
      <c r="D44" s="369"/>
      <c r="E44" s="35"/>
      <c r="F44" s="184"/>
      <c r="G44" s="184"/>
      <c r="H44" s="184"/>
    </row>
    <row r="45" spans="1:8" s="13" customFormat="1" ht="13.5" thickBot="1" x14ac:dyDescent="0.3">
      <c r="A45" s="378" t="s">
        <v>12</v>
      </c>
      <c r="B45" s="379" t="s">
        <v>142</v>
      </c>
      <c r="C45" s="358" t="s">
        <v>174</v>
      </c>
      <c r="D45" s="359"/>
      <c r="E45" s="34"/>
      <c r="F45" s="183" t="s">
        <v>278</v>
      </c>
      <c r="G45" s="183" t="s">
        <v>278</v>
      </c>
      <c r="H45" s="183" t="s">
        <v>278</v>
      </c>
    </row>
    <row r="46" spans="1:8" s="13" customFormat="1" ht="13.5" thickBot="1" x14ac:dyDescent="0.3">
      <c r="A46" s="378"/>
      <c r="B46" s="379"/>
      <c r="C46" s="364" t="s">
        <v>175</v>
      </c>
      <c r="D46" s="365"/>
      <c r="E46" s="34"/>
      <c r="F46" s="169">
        <v>6610</v>
      </c>
      <c r="G46" s="220">
        <v>6610</v>
      </c>
      <c r="H46" s="220">
        <v>6610</v>
      </c>
    </row>
    <row r="47" spans="1:8" s="13" customFormat="1" ht="13.5" thickBot="1" x14ac:dyDescent="0.3">
      <c r="A47" s="378"/>
      <c r="B47" s="379"/>
      <c r="C47" s="364" t="s">
        <v>176</v>
      </c>
      <c r="D47" s="365"/>
      <c r="E47" s="34"/>
      <c r="F47" s="185" t="s">
        <v>278</v>
      </c>
      <c r="G47" s="231" t="s">
        <v>278</v>
      </c>
      <c r="H47" s="231" t="s">
        <v>278</v>
      </c>
    </row>
    <row r="48" spans="1:8" s="13" customFormat="1" ht="13.5" thickBot="1" x14ac:dyDescent="0.3">
      <c r="A48" s="378"/>
      <c r="B48" s="379"/>
      <c r="C48" s="364" t="s">
        <v>177</v>
      </c>
      <c r="D48" s="365"/>
      <c r="E48" s="34"/>
      <c r="F48" s="169">
        <v>6005</v>
      </c>
      <c r="G48" s="220">
        <v>6005</v>
      </c>
      <c r="H48" s="220">
        <v>6005</v>
      </c>
    </row>
    <row r="49" spans="1:8" s="13" customFormat="1" ht="13.5" thickBot="1" x14ac:dyDescent="0.3">
      <c r="A49" s="378"/>
      <c r="B49" s="379"/>
      <c r="C49" s="364" t="s">
        <v>112</v>
      </c>
      <c r="D49" s="365"/>
      <c r="E49" s="34"/>
      <c r="F49" s="169" t="s">
        <v>426</v>
      </c>
      <c r="G49" s="220" t="s">
        <v>426</v>
      </c>
      <c r="H49" s="220" t="s">
        <v>426</v>
      </c>
    </row>
    <row r="50" spans="1:8" s="13" customFormat="1" ht="13.5" thickBot="1" x14ac:dyDescent="0.3">
      <c r="A50" s="378"/>
      <c r="B50" s="379"/>
      <c r="C50" s="364" t="s">
        <v>113</v>
      </c>
      <c r="D50" s="365"/>
      <c r="E50" s="34"/>
      <c r="F50" s="169" t="s">
        <v>427</v>
      </c>
      <c r="G50" s="220" t="s">
        <v>427</v>
      </c>
      <c r="H50" s="220" t="s">
        <v>427</v>
      </c>
    </row>
    <row r="51" spans="1:8" s="13" customFormat="1" ht="13.5" thickBot="1" x14ac:dyDescent="0.3">
      <c r="A51" s="378"/>
      <c r="B51" s="379"/>
      <c r="C51" s="366" t="s">
        <v>114</v>
      </c>
      <c r="D51" s="367"/>
      <c r="E51" s="34"/>
      <c r="F51" s="169" t="s">
        <v>426</v>
      </c>
      <c r="G51" s="220" t="s">
        <v>426</v>
      </c>
      <c r="H51" s="220" t="s">
        <v>426</v>
      </c>
    </row>
    <row r="52" spans="1:8" s="13" customFormat="1" ht="15.6" customHeight="1" thickBot="1" x14ac:dyDescent="0.3">
      <c r="A52" s="378"/>
      <c r="B52" s="379"/>
      <c r="C52" s="352" t="s">
        <v>115</v>
      </c>
      <c r="D52" s="353"/>
      <c r="E52" s="34"/>
      <c r="F52" s="174" t="s">
        <v>427</v>
      </c>
      <c r="G52" s="228" t="s">
        <v>427</v>
      </c>
      <c r="H52" s="228" t="s">
        <v>427</v>
      </c>
    </row>
    <row r="53" spans="1:8" s="13" customFormat="1" x14ac:dyDescent="0.25">
      <c r="A53" s="354" t="s">
        <v>10</v>
      </c>
      <c r="B53" s="356" t="s">
        <v>217</v>
      </c>
      <c r="C53" s="358" t="s">
        <v>116</v>
      </c>
      <c r="D53" s="359"/>
      <c r="E53" s="34"/>
      <c r="F53" s="183">
        <v>5</v>
      </c>
      <c r="G53" s="227">
        <v>5</v>
      </c>
      <c r="H53" s="227">
        <v>5</v>
      </c>
    </row>
    <row r="54" spans="1:8" s="13" customFormat="1" x14ac:dyDescent="0.25">
      <c r="A54" s="362"/>
      <c r="B54" s="363"/>
      <c r="C54" s="364" t="s">
        <v>117</v>
      </c>
      <c r="D54" s="365"/>
      <c r="E54" s="34"/>
      <c r="F54" s="169" t="s">
        <v>197</v>
      </c>
      <c r="G54" s="220" t="s">
        <v>197</v>
      </c>
      <c r="H54" s="220" t="s">
        <v>197</v>
      </c>
    </row>
    <row r="55" spans="1:8" s="13" customFormat="1" ht="13.5" thickBot="1" x14ac:dyDescent="0.3">
      <c r="A55" s="362"/>
      <c r="B55" s="363"/>
      <c r="C55" s="360" t="s">
        <v>71</v>
      </c>
      <c r="D55" s="361"/>
      <c r="E55" s="34"/>
      <c r="F55" s="171" t="s">
        <v>428</v>
      </c>
      <c r="G55" s="232" t="s">
        <v>428</v>
      </c>
      <c r="H55" s="232" t="s">
        <v>428</v>
      </c>
    </row>
    <row r="56" spans="1:8" s="13" customFormat="1" ht="81.599999999999994" customHeight="1" thickBot="1" x14ac:dyDescent="0.3">
      <c r="A56" s="51" t="s">
        <v>9</v>
      </c>
      <c r="B56" s="28" t="s">
        <v>256</v>
      </c>
      <c r="C56" s="366"/>
      <c r="D56" s="367"/>
      <c r="E56" s="34"/>
      <c r="F56" s="183"/>
      <c r="G56" s="229"/>
      <c r="H56" s="229"/>
    </row>
    <row r="57" spans="1:8" s="13" customFormat="1" ht="28.5" customHeight="1" thickBot="1" x14ac:dyDescent="0.3">
      <c r="A57" s="51" t="s">
        <v>255</v>
      </c>
      <c r="B57" s="28" t="s">
        <v>254</v>
      </c>
      <c r="C57" s="368"/>
      <c r="D57" s="369"/>
      <c r="E57" s="35"/>
      <c r="F57" s="186" t="s">
        <v>429</v>
      </c>
      <c r="G57" s="227" t="s">
        <v>429</v>
      </c>
      <c r="H57" s="227" t="s">
        <v>429</v>
      </c>
    </row>
    <row r="58" spans="1:8" s="13" customFormat="1" x14ac:dyDescent="0.25">
      <c r="A58" s="354" t="s">
        <v>25</v>
      </c>
      <c r="B58" s="356" t="s">
        <v>93</v>
      </c>
      <c r="C58" s="358" t="s">
        <v>72</v>
      </c>
      <c r="D58" s="359"/>
      <c r="E58" s="34"/>
      <c r="F58" s="183" t="s">
        <v>430</v>
      </c>
      <c r="G58" s="227" t="s">
        <v>430</v>
      </c>
      <c r="H58" s="227" t="s">
        <v>430</v>
      </c>
    </row>
    <row r="59" spans="1:8" s="13" customFormat="1" ht="70.5" customHeight="1" thickBot="1" x14ac:dyDescent="0.3">
      <c r="A59" s="355"/>
      <c r="B59" s="357"/>
      <c r="C59" s="352" t="s">
        <v>73</v>
      </c>
      <c r="D59" s="353"/>
      <c r="E59" s="34"/>
      <c r="F59" s="174">
        <v>240</v>
      </c>
      <c r="G59" s="228">
        <v>240</v>
      </c>
      <c r="H59" s="228">
        <v>240</v>
      </c>
    </row>
    <row r="60" spans="1:8" s="13" customFormat="1" x14ac:dyDescent="0.25">
      <c r="A60" s="354" t="s">
        <v>26</v>
      </c>
      <c r="B60" s="356" t="s">
        <v>253</v>
      </c>
      <c r="C60" s="358" t="s">
        <v>74</v>
      </c>
      <c r="D60" s="359"/>
      <c r="E60" s="34"/>
      <c r="F60" s="183" t="s">
        <v>431</v>
      </c>
      <c r="G60" s="227" t="s">
        <v>431</v>
      </c>
      <c r="H60" s="227" t="s">
        <v>431</v>
      </c>
    </row>
    <row r="61" spans="1:8" s="13" customFormat="1" x14ac:dyDescent="0.25">
      <c r="A61" s="362"/>
      <c r="B61" s="363"/>
      <c r="C61" s="364" t="s">
        <v>75</v>
      </c>
      <c r="D61" s="365"/>
      <c r="E61" s="34"/>
      <c r="F61" s="169">
        <v>3</v>
      </c>
      <c r="G61" s="220">
        <v>3</v>
      </c>
      <c r="H61" s="220">
        <v>3</v>
      </c>
    </row>
    <row r="62" spans="1:8" s="13" customFormat="1" ht="32.25" customHeight="1" thickBot="1" x14ac:dyDescent="0.3">
      <c r="A62" s="355"/>
      <c r="B62" s="357"/>
      <c r="C62" s="352" t="s">
        <v>252</v>
      </c>
      <c r="D62" s="353"/>
      <c r="E62" s="34"/>
      <c r="F62" s="174">
        <v>700</v>
      </c>
      <c r="G62" s="201">
        <v>700</v>
      </c>
      <c r="H62" s="201">
        <v>700</v>
      </c>
    </row>
    <row r="63" spans="1:8" s="13" customFormat="1" ht="20.100000000000001" customHeight="1" thickBot="1" x14ac:dyDescent="0.3">
      <c r="A63" s="50" t="s">
        <v>44</v>
      </c>
      <c r="B63" s="30" t="s">
        <v>45</v>
      </c>
      <c r="C63" s="368"/>
      <c r="D63" s="369"/>
      <c r="E63" s="35"/>
      <c r="F63" s="186"/>
      <c r="G63" s="186"/>
      <c r="H63" s="186"/>
    </row>
    <row r="64" spans="1:8" s="13" customFormat="1" ht="28.5" customHeight="1" thickBot="1" x14ac:dyDescent="0.3">
      <c r="A64" s="50" t="s">
        <v>44</v>
      </c>
      <c r="B64" s="30" t="s">
        <v>63</v>
      </c>
      <c r="C64" s="368"/>
      <c r="D64" s="369"/>
      <c r="E64" s="35"/>
      <c r="F64" s="186"/>
      <c r="G64" s="186"/>
      <c r="H64" s="186"/>
    </row>
    <row r="65" spans="1:8" s="13" customFormat="1" ht="31.5" customHeight="1" thickBot="1" x14ac:dyDescent="0.3">
      <c r="A65" s="50" t="s">
        <v>44</v>
      </c>
      <c r="B65" s="30" t="s">
        <v>64</v>
      </c>
      <c r="C65" s="368"/>
      <c r="D65" s="369"/>
      <c r="E65" s="35"/>
      <c r="F65" s="186"/>
      <c r="G65" s="186"/>
      <c r="H65" s="186"/>
    </row>
    <row r="66" spans="1:8" s="13" customFormat="1" ht="30.95" customHeight="1" thickBot="1" x14ac:dyDescent="0.3">
      <c r="A66" s="50" t="s">
        <v>50</v>
      </c>
      <c r="B66" s="30" t="s">
        <v>216</v>
      </c>
      <c r="C66" s="368"/>
      <c r="D66" s="369"/>
      <c r="E66" s="35"/>
      <c r="F66" s="186"/>
      <c r="G66" s="186"/>
      <c r="H66" s="186"/>
    </row>
    <row r="67" spans="1:8" s="13" customFormat="1" ht="17.45" customHeight="1" thickBot="1" x14ac:dyDescent="0.3">
      <c r="A67" s="50" t="s">
        <v>27</v>
      </c>
      <c r="B67" s="30" t="s">
        <v>215</v>
      </c>
      <c r="C67" s="380" t="s">
        <v>77</v>
      </c>
      <c r="D67" s="381"/>
      <c r="E67" s="34"/>
      <c r="F67" s="184" t="s">
        <v>432</v>
      </c>
      <c r="G67" s="184" t="s">
        <v>432</v>
      </c>
      <c r="H67" s="184" t="s">
        <v>432</v>
      </c>
    </row>
    <row r="68" spans="1:8" s="13" customFormat="1" ht="54.6" customHeight="1" thickBot="1" x14ac:dyDescent="0.3">
      <c r="A68" s="50" t="s">
        <v>214</v>
      </c>
      <c r="B68" s="30" t="s">
        <v>213</v>
      </c>
      <c r="C68" s="380"/>
      <c r="D68" s="381"/>
      <c r="E68" s="34"/>
      <c r="F68" s="184"/>
      <c r="G68" s="186"/>
      <c r="H68" s="186"/>
    </row>
    <row r="69" spans="1:8" s="13" customFormat="1" ht="15" customHeight="1" x14ac:dyDescent="0.25">
      <c r="A69" s="354" t="s">
        <v>28</v>
      </c>
      <c r="B69" s="356" t="s">
        <v>251</v>
      </c>
      <c r="C69" s="425" t="s">
        <v>250</v>
      </c>
      <c r="D69" s="359"/>
      <c r="E69" s="34"/>
      <c r="F69" s="183" t="s">
        <v>455</v>
      </c>
      <c r="G69" s="183" t="s">
        <v>455</v>
      </c>
      <c r="H69" s="183" t="s">
        <v>455</v>
      </c>
    </row>
    <row r="70" spans="1:8" s="13" customFormat="1" ht="26.25" thickBot="1" x14ac:dyDescent="0.3">
      <c r="A70" s="355"/>
      <c r="B70" s="357"/>
      <c r="C70" s="426" t="s">
        <v>249</v>
      </c>
      <c r="D70" s="353"/>
      <c r="E70" s="34"/>
      <c r="F70" s="174" t="s">
        <v>434</v>
      </c>
      <c r="G70" s="174" t="s">
        <v>434</v>
      </c>
      <c r="H70" s="174" t="s">
        <v>434</v>
      </c>
    </row>
    <row r="71" spans="1:8" s="13" customFormat="1" ht="42.6" customHeight="1" thickBot="1" x14ac:dyDescent="0.3">
      <c r="A71" s="50" t="s">
        <v>51</v>
      </c>
      <c r="B71" s="30" t="s">
        <v>212</v>
      </c>
      <c r="C71" s="368"/>
      <c r="D71" s="369"/>
      <c r="E71" s="35"/>
      <c r="F71" s="184"/>
      <c r="G71" s="184"/>
      <c r="H71" s="184"/>
    </row>
    <row r="72" spans="1:8" s="13" customFormat="1" ht="41.1" customHeight="1" thickBot="1" x14ac:dyDescent="0.3">
      <c r="A72" s="50" t="s">
        <v>54</v>
      </c>
      <c r="B72" s="30" t="s">
        <v>80</v>
      </c>
      <c r="C72" s="368"/>
      <c r="D72" s="369"/>
      <c r="E72" s="35"/>
      <c r="F72" s="184"/>
      <c r="G72" s="184"/>
      <c r="H72" s="184"/>
    </row>
    <row r="73" spans="1:8" s="13" customFormat="1" ht="82.5" customHeight="1" thickBot="1" x14ac:dyDescent="0.3">
      <c r="A73" s="50" t="s">
        <v>29</v>
      </c>
      <c r="B73" s="30" t="s">
        <v>211</v>
      </c>
      <c r="C73" s="368"/>
      <c r="D73" s="369"/>
      <c r="E73" s="35"/>
      <c r="F73" s="184"/>
      <c r="G73" s="184"/>
      <c r="H73" s="184"/>
    </row>
    <row r="74" spans="1:8" s="13" customFormat="1" ht="68.45" customHeight="1" thickBot="1" x14ac:dyDescent="0.3">
      <c r="A74" s="50" t="s">
        <v>31</v>
      </c>
      <c r="B74" s="30" t="s">
        <v>210</v>
      </c>
      <c r="C74" s="380" t="s">
        <v>30</v>
      </c>
      <c r="D74" s="381"/>
      <c r="E74" s="34"/>
      <c r="F74" s="184" t="s">
        <v>435</v>
      </c>
      <c r="G74" s="184" t="s">
        <v>435</v>
      </c>
      <c r="H74" s="184" t="s">
        <v>435</v>
      </c>
    </row>
    <row r="75" spans="1:8" s="13" customFormat="1" ht="29.45" customHeight="1" thickBot="1" x14ac:dyDescent="0.3">
      <c r="A75" s="50" t="s">
        <v>55</v>
      </c>
      <c r="B75" s="30" t="s">
        <v>95</v>
      </c>
      <c r="C75" s="368"/>
      <c r="D75" s="369"/>
      <c r="E75" s="35"/>
      <c r="F75" s="184"/>
      <c r="G75" s="184"/>
      <c r="H75" s="184"/>
    </row>
    <row r="76" spans="1:8" s="13" customFormat="1" ht="30" customHeight="1" thickBot="1" x14ac:dyDescent="0.3">
      <c r="A76" s="50" t="s">
        <v>32</v>
      </c>
      <c r="B76" s="30" t="s">
        <v>96</v>
      </c>
      <c r="C76" s="380" t="s">
        <v>30</v>
      </c>
      <c r="D76" s="381"/>
      <c r="E76" s="34"/>
      <c r="F76" s="184" t="s">
        <v>436</v>
      </c>
      <c r="G76" s="184" t="s">
        <v>436</v>
      </c>
      <c r="H76" s="184" t="s">
        <v>436</v>
      </c>
    </row>
    <row r="77" spans="1:8" s="13" customFormat="1" ht="42" customHeight="1" thickBot="1" x14ac:dyDescent="0.3">
      <c r="A77" s="50" t="s">
        <v>56</v>
      </c>
      <c r="B77" s="30" t="s">
        <v>167</v>
      </c>
      <c r="C77" s="368"/>
      <c r="D77" s="369"/>
      <c r="E77" s="35"/>
      <c r="F77" s="184"/>
      <c r="G77" s="184"/>
      <c r="H77" s="184"/>
    </row>
    <row r="78" spans="1:8" s="13" customFormat="1" ht="29.45" customHeight="1" thickBot="1" x14ac:dyDescent="0.3">
      <c r="A78" s="50" t="s">
        <v>48</v>
      </c>
      <c r="B78" s="30" t="s">
        <v>47</v>
      </c>
      <c r="C78" s="368"/>
      <c r="D78" s="369"/>
      <c r="E78" s="35"/>
      <c r="F78" s="184"/>
      <c r="G78" s="184"/>
      <c r="H78" s="184"/>
    </row>
    <row r="79" spans="1:8" s="13" customFormat="1" ht="30.6" customHeight="1" thickBot="1" x14ac:dyDescent="0.3">
      <c r="A79" s="50" t="s">
        <v>49</v>
      </c>
      <c r="B79" s="30" t="s">
        <v>103</v>
      </c>
      <c r="C79" s="368"/>
      <c r="D79" s="369"/>
      <c r="E79" s="35"/>
      <c r="F79" s="184"/>
      <c r="G79" s="184"/>
      <c r="H79" s="184"/>
    </row>
    <row r="80" spans="1:8" s="13" customFormat="1" ht="28.5" customHeight="1" thickBot="1" x14ac:dyDescent="0.3">
      <c r="A80" s="50" t="s">
        <v>46</v>
      </c>
      <c r="B80" s="30" t="s">
        <v>81</v>
      </c>
      <c r="C80" s="368"/>
      <c r="D80" s="369"/>
      <c r="E80" s="35"/>
      <c r="F80" s="184"/>
      <c r="G80" s="184"/>
      <c r="H80" s="184"/>
    </row>
    <row r="81" spans="1:8" ht="13.5" thickBot="1" x14ac:dyDescent="0.25">
      <c r="G81" s="212"/>
      <c r="H81" s="212"/>
    </row>
    <row r="82" spans="1:8" s="17" customFormat="1" ht="18.75" thickBot="1" x14ac:dyDescent="0.3">
      <c r="A82" s="373" t="s">
        <v>168</v>
      </c>
      <c r="B82" s="374"/>
      <c r="C82" s="374"/>
      <c r="D82" s="375"/>
      <c r="E82" s="38"/>
      <c r="F82" s="417" t="s">
        <v>420</v>
      </c>
      <c r="G82" s="418"/>
      <c r="H82" s="419"/>
    </row>
    <row r="83" spans="1:8" s="3" customFormat="1" ht="15" customHeight="1" thickBot="1" x14ac:dyDescent="0.3">
      <c r="A83" s="382" t="s">
        <v>169</v>
      </c>
      <c r="B83" s="383"/>
      <c r="C83" s="383"/>
      <c r="D83" s="384"/>
      <c r="E83" s="39"/>
      <c r="F83" s="216" t="s">
        <v>19</v>
      </c>
      <c r="G83" s="217" t="s">
        <v>248</v>
      </c>
      <c r="H83" s="218" t="s">
        <v>269</v>
      </c>
    </row>
    <row r="84" spans="1:8" s="13" customFormat="1" x14ac:dyDescent="0.25">
      <c r="A84" s="385" t="s">
        <v>83</v>
      </c>
      <c r="B84" s="386"/>
      <c r="C84" s="386"/>
      <c r="D84" s="387"/>
      <c r="E84" s="35"/>
      <c r="F84" s="189">
        <f>-1337.32*('PPI Adj'!D6)</f>
        <v>-1560.6524400000001</v>
      </c>
      <c r="G84" s="189">
        <f>-1337.32*('PPI Adj'!D6)</f>
        <v>-1560.6524400000001</v>
      </c>
      <c r="H84" s="189">
        <f>-1337.32*('PPI Adj'!D6)</f>
        <v>-1560.6524400000001</v>
      </c>
    </row>
    <row r="85" spans="1:8" s="13" customFormat="1" x14ac:dyDescent="0.25">
      <c r="A85" s="388" t="s">
        <v>34</v>
      </c>
      <c r="B85" s="389"/>
      <c r="C85" s="389"/>
      <c r="D85" s="390"/>
      <c r="E85" s="34"/>
      <c r="F85" s="190">
        <f>544.44*('PPI Adj'!D6)</f>
        <v>635.36148000000003</v>
      </c>
      <c r="G85" s="190">
        <f>544.44*('PPI Adj'!D6)</f>
        <v>635.36148000000003</v>
      </c>
      <c r="H85" s="190">
        <f>544.44*('PPI Adj'!D6)</f>
        <v>635.36148000000003</v>
      </c>
    </row>
    <row r="86" spans="1:8" s="13" customFormat="1" x14ac:dyDescent="0.25">
      <c r="A86" s="388" t="s">
        <v>35</v>
      </c>
      <c r="B86" s="389"/>
      <c r="C86" s="389"/>
      <c r="D86" s="390"/>
      <c r="E86" s="35"/>
      <c r="F86" s="190">
        <f>602.62*('PPI Adj'!D6)</f>
        <v>703.25754000000006</v>
      </c>
      <c r="G86" s="190">
        <f>602.62*('PPI Adj'!D6)</f>
        <v>703.25754000000006</v>
      </c>
      <c r="H86" s="190">
        <f>602.62*('PPI Adj'!D6)</f>
        <v>703.25754000000006</v>
      </c>
    </row>
    <row r="87" spans="1:8" s="13" customFormat="1" x14ac:dyDescent="0.25">
      <c r="A87" s="388" t="s">
        <v>36</v>
      </c>
      <c r="B87" s="389"/>
      <c r="C87" s="389"/>
      <c r="D87" s="390"/>
      <c r="E87" s="34"/>
      <c r="F87" s="190">
        <f>1340.82*('PPI Adj'!D6)</f>
        <v>1564.73694</v>
      </c>
      <c r="G87" s="190">
        <f>1340.82*('PPI Adj'!D6)</f>
        <v>1564.73694</v>
      </c>
      <c r="H87" s="190">
        <f>1340.82*('PPI Adj'!D6)</f>
        <v>1564.73694</v>
      </c>
    </row>
    <row r="88" spans="1:8" s="13" customFormat="1" x14ac:dyDescent="0.25">
      <c r="A88" s="388" t="s">
        <v>60</v>
      </c>
      <c r="B88" s="389"/>
      <c r="C88" s="389"/>
      <c r="D88" s="390"/>
      <c r="E88" s="34"/>
      <c r="F88" s="190">
        <f>655.98*('PPI Adj'!D6)</f>
        <v>765.52866000000006</v>
      </c>
      <c r="G88" s="190">
        <f>655.98*('PPI Adj'!D6)</f>
        <v>765.52866000000006</v>
      </c>
      <c r="H88" s="190">
        <f>655.98*('PPI Adj'!D6)</f>
        <v>765.52866000000006</v>
      </c>
    </row>
    <row r="89" spans="1:8" s="13" customFormat="1" x14ac:dyDescent="0.25">
      <c r="A89" s="388" t="s">
        <v>61</v>
      </c>
      <c r="B89" s="389"/>
      <c r="C89" s="389"/>
      <c r="D89" s="390"/>
      <c r="E89" s="34"/>
      <c r="F89" s="190" t="s">
        <v>183</v>
      </c>
      <c r="G89" s="190" t="s">
        <v>183</v>
      </c>
      <c r="H89" s="190" t="s">
        <v>183</v>
      </c>
    </row>
    <row r="90" spans="1:8" s="13" customFormat="1" x14ac:dyDescent="0.25">
      <c r="A90" s="388" t="s">
        <v>86</v>
      </c>
      <c r="B90" s="389"/>
      <c r="C90" s="389"/>
      <c r="D90" s="390"/>
      <c r="E90" s="34"/>
      <c r="F90" s="190">
        <f>1202.76*('PPI Adj'!D6)</f>
        <v>1403.6209200000001</v>
      </c>
      <c r="G90" s="190">
        <f>1202.76*('PPI Adj'!D6)</f>
        <v>1403.6209200000001</v>
      </c>
      <c r="H90" s="190">
        <f>1202.76*('PPI Adj'!D6)</f>
        <v>1403.6209200000001</v>
      </c>
    </row>
    <row r="91" spans="1:8" x14ac:dyDescent="0.2">
      <c r="A91" s="388" t="s">
        <v>85</v>
      </c>
      <c r="B91" s="389"/>
      <c r="C91" s="389"/>
      <c r="D91" s="390"/>
      <c r="E91" s="34"/>
      <c r="F91" s="190">
        <f>4217.27*('PPI Adj'!D6)</f>
        <v>4921.5540900000005</v>
      </c>
      <c r="G91" s="190">
        <f>4217.27*('PPI Adj'!D6)</f>
        <v>4921.5540900000005</v>
      </c>
      <c r="H91" s="190">
        <f>4217.27*('PPI Adj'!D6)</f>
        <v>4921.5540900000005</v>
      </c>
    </row>
    <row r="92" spans="1:8" x14ac:dyDescent="0.2">
      <c r="A92" s="388" t="s">
        <v>13</v>
      </c>
      <c r="B92" s="389"/>
      <c r="C92" s="389"/>
      <c r="D92" s="390"/>
      <c r="E92" s="34"/>
      <c r="F92" s="190">
        <f>6533.28*('PPI Adj'!D6)</f>
        <v>7624.3377600000003</v>
      </c>
      <c r="G92" s="190">
        <f>6533.28*('PPI Adj'!D6)</f>
        <v>7624.3377600000003</v>
      </c>
      <c r="H92" s="190">
        <f>6533.28*('PPI Adj'!D6)</f>
        <v>7624.3377600000003</v>
      </c>
    </row>
    <row r="93" spans="1:8" x14ac:dyDescent="0.2">
      <c r="A93" s="388" t="s">
        <v>37</v>
      </c>
      <c r="B93" s="389"/>
      <c r="C93" s="389"/>
      <c r="D93" s="390"/>
      <c r="E93" s="35"/>
      <c r="F93" s="190">
        <f>97.5*('PPI Adj'!D6)</f>
        <v>113.7825</v>
      </c>
      <c r="G93" s="190">
        <f>97.5*('PPI Adj'!D6)</f>
        <v>113.7825</v>
      </c>
      <c r="H93" s="190">
        <f>97.5*('PPI Adj'!D6)</f>
        <v>113.7825</v>
      </c>
    </row>
    <row r="94" spans="1:8" x14ac:dyDescent="0.2">
      <c r="A94" s="388" t="s">
        <v>38</v>
      </c>
      <c r="B94" s="389"/>
      <c r="C94" s="389"/>
      <c r="D94" s="390"/>
      <c r="E94" s="35"/>
      <c r="F94" s="190">
        <f>397.8*('PPI Adj'!D6)</f>
        <v>464.23260000000005</v>
      </c>
      <c r="G94" s="190">
        <f>397.8*('PPI Adj'!D6)</f>
        <v>464.23260000000005</v>
      </c>
      <c r="H94" s="190">
        <f>397.8*('PPI Adj'!D6)</f>
        <v>464.23260000000005</v>
      </c>
    </row>
    <row r="95" spans="1:8" x14ac:dyDescent="0.2">
      <c r="A95" s="388" t="s">
        <v>201</v>
      </c>
      <c r="B95" s="389"/>
      <c r="C95" s="389"/>
      <c r="D95" s="390"/>
      <c r="E95" s="35"/>
      <c r="F95" s="190" t="s">
        <v>183</v>
      </c>
      <c r="G95" s="190" t="s">
        <v>183</v>
      </c>
      <c r="H95" s="190" t="s">
        <v>183</v>
      </c>
    </row>
    <row r="96" spans="1:8" x14ac:dyDescent="0.2">
      <c r="A96" s="388" t="s">
        <v>39</v>
      </c>
      <c r="B96" s="389"/>
      <c r="C96" s="389"/>
      <c r="D96" s="390"/>
      <c r="E96" s="34"/>
      <c r="F96" s="190">
        <f>723.06*('PPI Adj'!D6)</f>
        <v>843.81101999999998</v>
      </c>
      <c r="G96" s="190">
        <f>723.06*('PPI Adj'!D6)</f>
        <v>843.81101999999998</v>
      </c>
      <c r="H96" s="190">
        <f>723.06*('PPI Adj'!D6)</f>
        <v>843.81101999999998</v>
      </c>
    </row>
    <row r="97" spans="1:8" x14ac:dyDescent="0.2">
      <c r="A97" s="388" t="s">
        <v>88</v>
      </c>
      <c r="B97" s="389"/>
      <c r="C97" s="389"/>
      <c r="D97" s="390"/>
      <c r="E97" s="34"/>
      <c r="F97" s="190">
        <f>3939.22*('PPI Adj'!D6)</f>
        <v>4597.0697399999999</v>
      </c>
      <c r="G97" s="190">
        <f>3939.22*('PPI Adj'!D6)</f>
        <v>4597.0697399999999</v>
      </c>
      <c r="H97" s="190">
        <f>3939.22*('PPI Adj'!D6)</f>
        <v>4597.0697399999999</v>
      </c>
    </row>
    <row r="98" spans="1:8" x14ac:dyDescent="0.2">
      <c r="A98" s="388" t="s">
        <v>40</v>
      </c>
      <c r="B98" s="389"/>
      <c r="C98" s="389"/>
      <c r="D98" s="390"/>
      <c r="E98" s="34"/>
      <c r="F98" s="190">
        <f>578.76*('PPI Adj'!D6)</f>
        <v>675.41291999999999</v>
      </c>
      <c r="G98" s="190">
        <f>578.76*('PPI Adj'!D6)</f>
        <v>675.41291999999999</v>
      </c>
      <c r="H98" s="190">
        <f>578.76*('PPI Adj'!D6)</f>
        <v>675.41291999999999</v>
      </c>
    </row>
    <row r="99" spans="1:8" x14ac:dyDescent="0.2">
      <c r="A99" s="388" t="s">
        <v>14</v>
      </c>
      <c r="B99" s="389"/>
      <c r="C99" s="389"/>
      <c r="D99" s="390"/>
      <c r="E99" s="34"/>
      <c r="F99" s="190">
        <f>7483.25*('PPI Adj'!D6)</f>
        <v>8732.9527500000004</v>
      </c>
      <c r="G99" s="190">
        <f>7483.25*('PPI Adj'!D6)</f>
        <v>8732.9527500000004</v>
      </c>
      <c r="H99" s="190">
        <f>7483.25*('PPI Adj'!D6)</f>
        <v>8732.9527500000004</v>
      </c>
    </row>
    <row r="100" spans="1:8" x14ac:dyDescent="0.2">
      <c r="A100" s="388" t="s">
        <v>91</v>
      </c>
      <c r="B100" s="389"/>
      <c r="C100" s="389"/>
      <c r="D100" s="390"/>
      <c r="E100" s="34"/>
      <c r="F100" s="190">
        <f>1800*('PPI Adj'!D6)</f>
        <v>2100.6</v>
      </c>
      <c r="G100" s="190">
        <f>1800*('PPI Adj'!D6)</f>
        <v>2100.6</v>
      </c>
      <c r="H100" s="190">
        <f>1800*('PPI Adj'!D6)</f>
        <v>2100.6</v>
      </c>
    </row>
    <row r="101" spans="1:8" x14ac:dyDescent="0.2">
      <c r="A101" s="394" t="s">
        <v>275</v>
      </c>
      <c r="B101" s="395"/>
      <c r="C101" s="395"/>
      <c r="D101" s="396"/>
      <c r="E101" s="34"/>
      <c r="F101" s="200">
        <f>-413.21*('PPI Adj'!D6)</f>
        <v>-482.21607</v>
      </c>
      <c r="G101" s="200">
        <f>-413.21*('PPI Adj'!D6)</f>
        <v>-482.21607</v>
      </c>
      <c r="H101" s="200">
        <f>-413.21*('PPI Adj'!D6)</f>
        <v>-482.21607</v>
      </c>
    </row>
    <row r="102" spans="1:8" ht="15.95" customHeight="1" thickBot="1" x14ac:dyDescent="0.25">
      <c r="A102" s="391" t="s">
        <v>92</v>
      </c>
      <c r="B102" s="392"/>
      <c r="C102" s="392"/>
      <c r="D102" s="393"/>
      <c r="E102" s="35"/>
      <c r="F102" s="191">
        <f>1013.03*('PPI Adj'!D6)</f>
        <v>1182.2060100000001</v>
      </c>
      <c r="G102" s="191">
        <f>1013.03*('PPI Adj'!D6)</f>
        <v>1182.2060100000001</v>
      </c>
      <c r="H102" s="191">
        <f>1013.03*('PPI Adj'!D6)</f>
        <v>1182.2060100000001</v>
      </c>
    </row>
    <row r="103" spans="1:8" ht="13.5" thickBot="1" x14ac:dyDescent="0.25">
      <c r="G103" s="212"/>
      <c r="H103" s="212"/>
    </row>
    <row r="104" spans="1:8" s="17" customFormat="1" ht="18.75" thickBot="1" x14ac:dyDescent="0.3">
      <c r="A104" s="373" t="s">
        <v>166</v>
      </c>
      <c r="B104" s="374"/>
      <c r="C104" s="374"/>
      <c r="D104" s="375"/>
      <c r="E104" s="38"/>
      <c r="F104" s="417" t="s">
        <v>420</v>
      </c>
      <c r="G104" s="418"/>
      <c r="H104" s="419"/>
    </row>
    <row r="105" spans="1:8" s="3" customFormat="1" ht="15" customHeight="1" thickBot="1" x14ac:dyDescent="0.3">
      <c r="A105" s="52" t="s">
        <v>33</v>
      </c>
      <c r="B105" s="24" t="s">
        <v>7</v>
      </c>
      <c r="C105" s="397" t="s">
        <v>165</v>
      </c>
      <c r="D105" s="398"/>
      <c r="E105" s="39"/>
      <c r="F105" s="216" t="s">
        <v>19</v>
      </c>
      <c r="G105" s="217" t="s">
        <v>248</v>
      </c>
      <c r="H105" s="218" t="s">
        <v>269</v>
      </c>
    </row>
    <row r="106" spans="1:8" s="13" customFormat="1" ht="42.6" customHeight="1" thickBot="1" x14ac:dyDescent="0.3">
      <c r="A106" s="53" t="s">
        <v>83</v>
      </c>
      <c r="B106" s="23" t="s">
        <v>146</v>
      </c>
      <c r="C106" s="440"/>
      <c r="D106" s="441"/>
      <c r="E106" s="35"/>
      <c r="F106" s="184" t="s">
        <v>438</v>
      </c>
      <c r="G106" s="184" t="s">
        <v>438</v>
      </c>
      <c r="H106" s="184" t="s">
        <v>438</v>
      </c>
    </row>
    <row r="107" spans="1:8" s="13" customFormat="1" ht="26.25" thickBot="1" x14ac:dyDescent="0.3">
      <c r="A107" s="50" t="s">
        <v>34</v>
      </c>
      <c r="B107" s="30" t="s">
        <v>107</v>
      </c>
      <c r="C107" s="380" t="s">
        <v>30</v>
      </c>
      <c r="D107" s="381"/>
      <c r="E107" s="34"/>
      <c r="F107" s="184" t="s">
        <v>439</v>
      </c>
      <c r="G107" s="184" t="s">
        <v>439</v>
      </c>
      <c r="H107" s="184" t="s">
        <v>439</v>
      </c>
    </row>
    <row r="108" spans="1:8" s="13" customFormat="1" ht="54.6" customHeight="1" thickBot="1" x14ac:dyDescent="0.3">
      <c r="A108" s="50" t="s">
        <v>35</v>
      </c>
      <c r="B108" s="30" t="s">
        <v>97</v>
      </c>
      <c r="C108" s="368"/>
      <c r="D108" s="369"/>
      <c r="E108" s="35"/>
      <c r="F108" s="184"/>
      <c r="G108" s="184"/>
      <c r="H108" s="184"/>
    </row>
    <row r="109" spans="1:8" s="13" customFormat="1" ht="26.25" thickBot="1" x14ac:dyDescent="0.3">
      <c r="A109" s="50" t="s">
        <v>36</v>
      </c>
      <c r="B109" s="30" t="s">
        <v>84</v>
      </c>
      <c r="C109" s="380" t="s">
        <v>99</v>
      </c>
      <c r="D109" s="381"/>
      <c r="E109" s="34"/>
      <c r="F109" s="184" t="s">
        <v>441</v>
      </c>
      <c r="G109" s="184" t="s">
        <v>441</v>
      </c>
      <c r="H109" s="184" t="s">
        <v>441</v>
      </c>
    </row>
    <row r="110" spans="1:8" s="13" customFormat="1" ht="12.75" customHeight="1" x14ac:dyDescent="0.25">
      <c r="A110" s="354" t="s">
        <v>60</v>
      </c>
      <c r="B110" s="356" t="s">
        <v>133</v>
      </c>
      <c r="C110" s="358" t="s">
        <v>203</v>
      </c>
      <c r="D110" s="359"/>
      <c r="E110" s="34"/>
      <c r="F110" s="183" t="s">
        <v>278</v>
      </c>
      <c r="G110" s="183" t="s">
        <v>278</v>
      </c>
      <c r="H110" s="183" t="s">
        <v>278</v>
      </c>
    </row>
    <row r="111" spans="1:8" s="13" customFormat="1" ht="12.6" customHeight="1" x14ac:dyDescent="0.25">
      <c r="A111" s="362"/>
      <c r="B111" s="363"/>
      <c r="C111" s="364" t="s">
        <v>202</v>
      </c>
      <c r="D111" s="365"/>
      <c r="E111" s="34"/>
      <c r="F111" s="169">
        <v>6005</v>
      </c>
      <c r="G111" s="169">
        <v>6005</v>
      </c>
      <c r="H111" s="169">
        <v>6005</v>
      </c>
    </row>
    <row r="112" spans="1:8" s="13" customFormat="1" ht="12.6" customHeight="1" x14ac:dyDescent="0.25">
      <c r="A112" s="362"/>
      <c r="B112" s="363"/>
      <c r="C112" s="364" t="s">
        <v>114</v>
      </c>
      <c r="D112" s="365"/>
      <c r="E112" s="34"/>
      <c r="F112" s="169" t="s">
        <v>442</v>
      </c>
      <c r="G112" s="169" t="s">
        <v>442</v>
      </c>
      <c r="H112" s="169" t="s">
        <v>442</v>
      </c>
    </row>
    <row r="113" spans="1:8" s="13" customFormat="1" ht="30.75" customHeight="1" thickBot="1" x14ac:dyDescent="0.3">
      <c r="A113" s="355"/>
      <c r="B113" s="357"/>
      <c r="C113" s="360" t="s">
        <v>115</v>
      </c>
      <c r="D113" s="361"/>
      <c r="E113" s="34"/>
      <c r="F113" s="174" t="s">
        <v>443</v>
      </c>
      <c r="G113" s="174" t="s">
        <v>443</v>
      </c>
      <c r="H113" s="174" t="s">
        <v>443</v>
      </c>
    </row>
    <row r="114" spans="1:8" s="13" customFormat="1" ht="12.75" customHeight="1" x14ac:dyDescent="0.25">
      <c r="A114" s="354" t="s">
        <v>61</v>
      </c>
      <c r="B114" s="356" t="s">
        <v>206</v>
      </c>
      <c r="C114" s="358" t="s">
        <v>205</v>
      </c>
      <c r="D114" s="359"/>
      <c r="E114" s="34"/>
      <c r="F114" s="183"/>
      <c r="G114" s="183"/>
      <c r="H114" s="183"/>
    </row>
    <row r="115" spans="1:8" s="13" customFormat="1" ht="12.6" customHeight="1" x14ac:dyDescent="0.25">
      <c r="A115" s="362"/>
      <c r="B115" s="363"/>
      <c r="C115" s="364" t="s">
        <v>204</v>
      </c>
      <c r="D115" s="365"/>
      <c r="E115" s="34"/>
      <c r="F115" s="185"/>
      <c r="G115" s="185"/>
      <c r="H115" s="185"/>
    </row>
    <row r="116" spans="1:8" s="13" customFormat="1" ht="12.6" customHeight="1" x14ac:dyDescent="0.25">
      <c r="A116" s="362"/>
      <c r="B116" s="363"/>
      <c r="C116" s="364" t="s">
        <v>203</v>
      </c>
      <c r="D116" s="365"/>
      <c r="E116" s="34"/>
      <c r="F116" s="185"/>
      <c r="G116" s="185"/>
      <c r="H116" s="185"/>
    </row>
    <row r="117" spans="1:8" s="13" customFormat="1" ht="12.6" customHeight="1" x14ac:dyDescent="0.25">
      <c r="A117" s="362"/>
      <c r="B117" s="363"/>
      <c r="C117" s="364" t="s">
        <v>202</v>
      </c>
      <c r="D117" s="365"/>
      <c r="E117" s="34"/>
      <c r="F117" s="169"/>
      <c r="G117" s="169"/>
      <c r="H117" s="169"/>
    </row>
    <row r="118" spans="1:8" s="13" customFormat="1" ht="12.6" customHeight="1" x14ac:dyDescent="0.25">
      <c r="A118" s="362"/>
      <c r="B118" s="363"/>
      <c r="C118" s="364" t="s">
        <v>112</v>
      </c>
      <c r="D118" s="365"/>
      <c r="E118" s="34"/>
      <c r="F118" s="169"/>
      <c r="G118" s="169"/>
      <c r="H118" s="169"/>
    </row>
    <row r="119" spans="1:8" s="13" customFormat="1" ht="12.6" customHeight="1" x14ac:dyDescent="0.25">
      <c r="A119" s="362"/>
      <c r="B119" s="363"/>
      <c r="C119" s="364" t="s">
        <v>113</v>
      </c>
      <c r="D119" s="365"/>
      <c r="E119" s="34"/>
      <c r="F119" s="185"/>
      <c r="G119" s="185"/>
      <c r="H119" s="185"/>
    </row>
    <row r="120" spans="1:8" s="13" customFormat="1" ht="12.6" customHeight="1" x14ac:dyDescent="0.25">
      <c r="A120" s="362"/>
      <c r="B120" s="363"/>
      <c r="C120" s="364" t="s">
        <v>114</v>
      </c>
      <c r="D120" s="365"/>
      <c r="E120" s="34"/>
      <c r="F120" s="185"/>
      <c r="G120" s="185"/>
      <c r="H120" s="185"/>
    </row>
    <row r="121" spans="1:8" s="13" customFormat="1" ht="12.95" customHeight="1" thickBot="1" x14ac:dyDescent="0.3">
      <c r="A121" s="355"/>
      <c r="B121" s="357"/>
      <c r="C121" s="360" t="s">
        <v>115</v>
      </c>
      <c r="D121" s="361"/>
      <c r="E121" s="34"/>
      <c r="F121" s="174"/>
      <c r="G121" s="174"/>
      <c r="H121" s="174"/>
    </row>
    <row r="122" spans="1:8" s="13" customFormat="1" ht="146.44999999999999" customHeight="1" thickBot="1" x14ac:dyDescent="0.3">
      <c r="A122" s="54" t="s">
        <v>86</v>
      </c>
      <c r="B122" s="18" t="s">
        <v>143</v>
      </c>
      <c r="C122" s="380" t="s">
        <v>104</v>
      </c>
      <c r="D122" s="381"/>
      <c r="E122" s="34"/>
      <c r="F122" s="183" t="s">
        <v>444</v>
      </c>
      <c r="G122" s="183" t="s">
        <v>444</v>
      </c>
      <c r="H122" s="183" t="s">
        <v>444</v>
      </c>
    </row>
    <row r="123" spans="1:8" ht="168.95" customHeight="1" thickBot="1" x14ac:dyDescent="0.25">
      <c r="A123" s="50" t="s">
        <v>85</v>
      </c>
      <c r="B123" s="14" t="s">
        <v>170</v>
      </c>
      <c r="C123" s="380" t="s">
        <v>104</v>
      </c>
      <c r="D123" s="381"/>
      <c r="E123" s="34"/>
      <c r="F123" s="184" t="s">
        <v>456</v>
      </c>
      <c r="G123" s="184" t="s">
        <v>456</v>
      </c>
      <c r="H123" s="184" t="s">
        <v>456</v>
      </c>
    </row>
    <row r="124" spans="1:8" ht="24.95" customHeight="1" x14ac:dyDescent="0.2">
      <c r="A124" s="354" t="s">
        <v>13</v>
      </c>
      <c r="B124" s="356" t="s">
        <v>98</v>
      </c>
      <c r="C124" s="358" t="s">
        <v>30</v>
      </c>
      <c r="D124" s="359"/>
      <c r="E124" s="34"/>
      <c r="F124" s="183" t="s">
        <v>446</v>
      </c>
      <c r="G124" s="183" t="s">
        <v>446</v>
      </c>
      <c r="H124" s="183" t="s">
        <v>446</v>
      </c>
    </row>
    <row r="125" spans="1:8" ht="30.6" customHeight="1" thickBot="1" x14ac:dyDescent="0.25">
      <c r="A125" s="355"/>
      <c r="B125" s="357"/>
      <c r="C125" s="360" t="s">
        <v>109</v>
      </c>
      <c r="D125" s="361"/>
      <c r="E125" s="34"/>
      <c r="F125" s="174">
        <v>1000</v>
      </c>
      <c r="G125" s="174">
        <v>1000</v>
      </c>
      <c r="H125" s="174">
        <v>1000</v>
      </c>
    </row>
    <row r="126" spans="1:8" ht="70.5" customHeight="1" thickBot="1" x14ac:dyDescent="0.25">
      <c r="A126" s="50" t="s">
        <v>37</v>
      </c>
      <c r="B126" s="30" t="s">
        <v>135</v>
      </c>
      <c r="C126" s="368"/>
      <c r="D126" s="369"/>
      <c r="E126" s="35"/>
      <c r="F126" s="184" t="s">
        <v>447</v>
      </c>
      <c r="G126" s="184" t="s">
        <v>447</v>
      </c>
      <c r="H126" s="184" t="s">
        <v>447</v>
      </c>
    </row>
    <row r="127" spans="1:8" ht="42.95" customHeight="1" thickBot="1" x14ac:dyDescent="0.25">
      <c r="A127" s="50" t="s">
        <v>38</v>
      </c>
      <c r="B127" s="30" t="s">
        <v>87</v>
      </c>
      <c r="C127" s="368"/>
      <c r="D127" s="369"/>
      <c r="E127" s="35"/>
      <c r="F127" s="184"/>
      <c r="G127" s="184"/>
      <c r="H127" s="184"/>
    </row>
    <row r="128" spans="1:8" ht="18.95" customHeight="1" thickBot="1" x14ac:dyDescent="0.25">
      <c r="A128" s="50" t="s">
        <v>201</v>
      </c>
      <c r="B128" s="30" t="s">
        <v>200</v>
      </c>
      <c r="C128" s="380"/>
      <c r="D128" s="381"/>
      <c r="E128" s="34"/>
      <c r="F128" s="184"/>
      <c r="G128" s="184"/>
      <c r="H128" s="184"/>
    </row>
    <row r="129" spans="1:8" ht="30" customHeight="1" thickBot="1" x14ac:dyDescent="0.25">
      <c r="A129" s="50" t="s">
        <v>39</v>
      </c>
      <c r="B129" s="30" t="s">
        <v>106</v>
      </c>
      <c r="C129" s="380" t="s">
        <v>105</v>
      </c>
      <c r="D129" s="381"/>
      <c r="E129" s="34"/>
      <c r="F129" s="184" t="s">
        <v>184</v>
      </c>
      <c r="G129" s="184" t="s">
        <v>184</v>
      </c>
      <c r="H129" s="184" t="s">
        <v>184</v>
      </c>
    </row>
    <row r="130" spans="1:8" ht="12.6" customHeight="1" x14ac:dyDescent="0.2">
      <c r="A130" s="354" t="s">
        <v>88</v>
      </c>
      <c r="B130" s="356" t="s">
        <v>148</v>
      </c>
      <c r="C130" s="358" t="s">
        <v>100</v>
      </c>
      <c r="D130" s="359"/>
      <c r="E130" s="34"/>
      <c r="F130" s="183" t="s">
        <v>448</v>
      </c>
      <c r="G130" s="183" t="s">
        <v>448</v>
      </c>
      <c r="H130" s="183" t="s">
        <v>448</v>
      </c>
    </row>
    <row r="131" spans="1:8" ht="108" customHeight="1" thickBot="1" x14ac:dyDescent="0.25">
      <c r="A131" s="355"/>
      <c r="B131" s="357"/>
      <c r="C131" s="360" t="s">
        <v>110</v>
      </c>
      <c r="D131" s="361"/>
      <c r="E131" s="34"/>
      <c r="F131" s="201" t="s">
        <v>449</v>
      </c>
      <c r="G131" s="201" t="s">
        <v>449</v>
      </c>
      <c r="H131" s="201" t="s">
        <v>449</v>
      </c>
    </row>
    <row r="132" spans="1:8" ht="39" thickBot="1" x14ac:dyDescent="0.25">
      <c r="A132" s="50" t="s">
        <v>40</v>
      </c>
      <c r="B132" s="30" t="s">
        <v>137</v>
      </c>
      <c r="C132" s="380" t="s">
        <v>100</v>
      </c>
      <c r="D132" s="381"/>
      <c r="E132" s="34"/>
      <c r="F132" s="174" t="s">
        <v>457</v>
      </c>
      <c r="G132" s="174" t="s">
        <v>457</v>
      </c>
      <c r="H132" s="174" t="s">
        <v>457</v>
      </c>
    </row>
    <row r="133" spans="1:8" ht="54.95" customHeight="1" thickBot="1" x14ac:dyDescent="0.25">
      <c r="A133" s="50" t="s">
        <v>14</v>
      </c>
      <c r="B133" s="30" t="s">
        <v>138</v>
      </c>
      <c r="C133" s="380" t="s">
        <v>139</v>
      </c>
      <c r="D133" s="381"/>
      <c r="E133" s="34"/>
      <c r="F133" s="184">
        <v>2</v>
      </c>
      <c r="G133" s="184">
        <v>2</v>
      </c>
      <c r="H133" s="184">
        <v>2</v>
      </c>
    </row>
    <row r="134" spans="1:8" ht="69.95" customHeight="1" thickBot="1" x14ac:dyDescent="0.25">
      <c r="A134" s="50" t="s">
        <v>91</v>
      </c>
      <c r="B134" s="30" t="s">
        <v>144</v>
      </c>
      <c r="C134" s="380" t="s">
        <v>100</v>
      </c>
      <c r="D134" s="381"/>
      <c r="E134" s="34"/>
      <c r="F134" s="184" t="s">
        <v>359</v>
      </c>
      <c r="G134" s="184" t="s">
        <v>359</v>
      </c>
      <c r="H134" s="184" t="s">
        <v>359</v>
      </c>
    </row>
    <row r="135" spans="1:8" ht="69.95" customHeight="1" thickBot="1" x14ac:dyDescent="0.25">
      <c r="A135" s="50" t="s">
        <v>92</v>
      </c>
      <c r="B135" s="30" t="s">
        <v>145</v>
      </c>
      <c r="C135" s="368"/>
      <c r="D135" s="369"/>
      <c r="E135" s="35"/>
      <c r="F135" s="184"/>
      <c r="G135" s="184"/>
      <c r="H135" s="184"/>
    </row>
  </sheetData>
  <sheetProtection algorithmName="SHA-512" hashValue="LHoW8G5oR8kLtuOdwy/LbYUtaEHYeKXnY2wSNh+rUEGbqn187cvKGpCxI0nzcpNFqN8QjFvARhyTMAiry0+7+A==" saltValue="ilfS3NgnAIJs6vgIfVkRKA==" spinCount="100000" sheet="1" objects="1" scenarios="1"/>
  <dataConsolidate/>
  <mergeCells count="159">
    <mergeCell ref="A101:D101"/>
    <mergeCell ref="A110:A113"/>
    <mergeCell ref="B110:B113"/>
    <mergeCell ref="C110:D110"/>
    <mergeCell ref="C111:D111"/>
    <mergeCell ref="C112:D112"/>
    <mergeCell ref="C113:D113"/>
    <mergeCell ref="C132:D132"/>
    <mergeCell ref="C133:D133"/>
    <mergeCell ref="C134:D134"/>
    <mergeCell ref="C120:D120"/>
    <mergeCell ref="C121:D121"/>
    <mergeCell ref="C108:D108"/>
    <mergeCell ref="C109:D109"/>
    <mergeCell ref="A114:A121"/>
    <mergeCell ref="B114:B121"/>
    <mergeCell ref="C114:D114"/>
    <mergeCell ref="C115:D115"/>
    <mergeCell ref="C116:D116"/>
    <mergeCell ref="C117:D117"/>
    <mergeCell ref="C118:D118"/>
    <mergeCell ref="C119:D119"/>
    <mergeCell ref="A130:A131"/>
    <mergeCell ref="B130:B131"/>
    <mergeCell ref="C130:D130"/>
    <mergeCell ref="C131:D131"/>
    <mergeCell ref="C122:D122"/>
    <mergeCell ref="C123:D123"/>
    <mergeCell ref="A124:A125"/>
    <mergeCell ref="B124:B125"/>
    <mergeCell ref="C124:D124"/>
    <mergeCell ref="C125:D125"/>
    <mergeCell ref="A99:D99"/>
    <mergeCell ref="A100:D100"/>
    <mergeCell ref="A102:D102"/>
    <mergeCell ref="A104:D104"/>
    <mergeCell ref="C135:D135"/>
    <mergeCell ref="C35:D35"/>
    <mergeCell ref="C126:D126"/>
    <mergeCell ref="C127:D127"/>
    <mergeCell ref="C128:D128"/>
    <mergeCell ref="C129:D129"/>
    <mergeCell ref="A89:D89"/>
    <mergeCell ref="A90:D90"/>
    <mergeCell ref="A91:D91"/>
    <mergeCell ref="C105:D105"/>
    <mergeCell ref="C106:D106"/>
    <mergeCell ref="C107:D107"/>
    <mergeCell ref="A95:D95"/>
    <mergeCell ref="A96:D96"/>
    <mergeCell ref="A97:D97"/>
    <mergeCell ref="A98:D98"/>
    <mergeCell ref="C76:D76"/>
    <mergeCell ref="A92:D92"/>
    <mergeCell ref="A93:D93"/>
    <mergeCell ref="A94:D94"/>
    <mergeCell ref="A83:D83"/>
    <mergeCell ref="A84:D84"/>
    <mergeCell ref="A85:D85"/>
    <mergeCell ref="A86:D86"/>
    <mergeCell ref="A87:D87"/>
    <mergeCell ref="A88:D88"/>
    <mergeCell ref="C77:D77"/>
    <mergeCell ref="C78:D78"/>
    <mergeCell ref="C79:D79"/>
    <mergeCell ref="C80:D80"/>
    <mergeCell ref="A82:D82"/>
    <mergeCell ref="C71:D71"/>
    <mergeCell ref="C72:D72"/>
    <mergeCell ref="C73:D73"/>
    <mergeCell ref="C74:D74"/>
    <mergeCell ref="C75:D75"/>
    <mergeCell ref="C64:D64"/>
    <mergeCell ref="C65:D65"/>
    <mergeCell ref="C66:D66"/>
    <mergeCell ref="C67:D67"/>
    <mergeCell ref="C68:D68"/>
    <mergeCell ref="C36:D36"/>
    <mergeCell ref="C37:D37"/>
    <mergeCell ref="A27:A28"/>
    <mergeCell ref="C26:D26"/>
    <mergeCell ref="C28:D28"/>
    <mergeCell ref="C29:D29"/>
    <mergeCell ref="A69:A70"/>
    <mergeCell ref="B69:B70"/>
    <mergeCell ref="C69:D69"/>
    <mergeCell ref="C70:D70"/>
    <mergeCell ref="C56:D56"/>
    <mergeCell ref="C57:D57"/>
    <mergeCell ref="A58:A59"/>
    <mergeCell ref="B58:B59"/>
    <mergeCell ref="C58:D58"/>
    <mergeCell ref="C59:D59"/>
    <mergeCell ref="A60:A62"/>
    <mergeCell ref="B60:B62"/>
    <mergeCell ref="C60:D60"/>
    <mergeCell ref="C61:D61"/>
    <mergeCell ref="C62:D62"/>
    <mergeCell ref="C63:D63"/>
    <mergeCell ref="C53:D53"/>
    <mergeCell ref="C54:D54"/>
    <mergeCell ref="C48:D48"/>
    <mergeCell ref="C49:D49"/>
    <mergeCell ref="C50:D50"/>
    <mergeCell ref="C51:D51"/>
    <mergeCell ref="C52:D52"/>
    <mergeCell ref="A45:A52"/>
    <mergeCell ref="B45:B52"/>
    <mergeCell ref="C45:D45"/>
    <mergeCell ref="C46:D46"/>
    <mergeCell ref="C47:D47"/>
    <mergeCell ref="F104:H104"/>
    <mergeCell ref="A3:D3"/>
    <mergeCell ref="A4:D4"/>
    <mergeCell ref="A6:D6"/>
    <mergeCell ref="B8:D8"/>
    <mergeCell ref="B13:D13"/>
    <mergeCell ref="B14:D14"/>
    <mergeCell ref="B15:D15"/>
    <mergeCell ref="B16:D16"/>
    <mergeCell ref="F6:H6"/>
    <mergeCell ref="B17:D17"/>
    <mergeCell ref="B9:D9"/>
    <mergeCell ref="B10:D10"/>
    <mergeCell ref="B11:D11"/>
    <mergeCell ref="B12:D12"/>
    <mergeCell ref="A36:A37"/>
    <mergeCell ref="B36:B37"/>
    <mergeCell ref="A30:A34"/>
    <mergeCell ref="B30:B34"/>
    <mergeCell ref="C30:D30"/>
    <mergeCell ref="C31:D31"/>
    <mergeCell ref="C32:D32"/>
    <mergeCell ref="A19:D19"/>
    <mergeCell ref="C55:D55"/>
    <mergeCell ref="F19:H19"/>
    <mergeCell ref="F24:H24"/>
    <mergeCell ref="F82:H82"/>
    <mergeCell ref="C33:D33"/>
    <mergeCell ref="C34:D34"/>
    <mergeCell ref="A41:A43"/>
    <mergeCell ref="B41:B43"/>
    <mergeCell ref="C41:D41"/>
    <mergeCell ref="C42:D42"/>
    <mergeCell ref="C43:D43"/>
    <mergeCell ref="A38:A39"/>
    <mergeCell ref="B38:B39"/>
    <mergeCell ref="C38:D38"/>
    <mergeCell ref="C39:D39"/>
    <mergeCell ref="C40:D40"/>
    <mergeCell ref="B27:B28"/>
    <mergeCell ref="C27:D27"/>
    <mergeCell ref="B21:D21"/>
    <mergeCell ref="B22:D22"/>
    <mergeCell ref="A24:D24"/>
    <mergeCell ref="C25:D25"/>
    <mergeCell ref="C44:D44"/>
    <mergeCell ref="A53:A55"/>
    <mergeCell ref="B53:B55"/>
  </mergeCells>
  <conditionalFormatting sqref="C56 C65">
    <cfRule type="expression" dxfId="192" priority="182">
      <formula>#REF!="NO"</formula>
    </cfRule>
  </conditionalFormatting>
  <conditionalFormatting sqref="C41:D43">
    <cfRule type="expression" dxfId="191" priority="169">
      <formula>$F$2="NO"</formula>
    </cfRule>
  </conditionalFormatting>
  <conditionalFormatting sqref="C26:E40">
    <cfRule type="expression" dxfId="190" priority="171">
      <formula>#REF!="NO"</formula>
    </cfRule>
  </conditionalFormatting>
  <conditionalFormatting sqref="C44:E80">
    <cfRule type="expression" dxfId="189" priority="168">
      <formula>#REF!="NO"</formula>
    </cfRule>
  </conditionalFormatting>
  <conditionalFormatting sqref="C106:E127">
    <cfRule type="expression" dxfId="188" priority="177">
      <formula>#REF!="NO"</formula>
    </cfRule>
  </conditionalFormatting>
  <conditionalFormatting sqref="C129:E135">
    <cfRule type="expression" dxfId="187" priority="181">
      <formula>#REF!="NO"</formula>
    </cfRule>
  </conditionalFormatting>
  <conditionalFormatting sqref="C128:F128">
    <cfRule type="expression" dxfId="186" priority="172">
      <formula>#REF!="NO"</formula>
    </cfRule>
  </conditionalFormatting>
  <conditionalFormatting sqref="E41:E43">
    <cfRule type="expression" dxfId="185" priority="170">
      <formula>#REF!="NO"</formula>
    </cfRule>
  </conditionalFormatting>
  <conditionalFormatting sqref="E84:H102">
    <cfRule type="expression" dxfId="184" priority="13">
      <formula>#REF!="NO"</formula>
    </cfRule>
  </conditionalFormatting>
  <conditionalFormatting sqref="F8:F17">
    <cfRule type="expression" dxfId="183" priority="163">
      <formula>#REF!="NO"</formula>
    </cfRule>
  </conditionalFormatting>
  <conditionalFormatting sqref="F21">
    <cfRule type="expression" dxfId="182" priority="167">
      <formula>#REF!="NO"</formula>
    </cfRule>
  </conditionalFormatting>
  <conditionalFormatting sqref="F26:F80">
    <cfRule type="expression" dxfId="181" priority="147">
      <formula>#REF!="NO"</formula>
    </cfRule>
  </conditionalFormatting>
  <conditionalFormatting sqref="F21:H22">
    <cfRule type="expression" dxfId="180" priority="83">
      <formula>#REF!="NO"</formula>
    </cfRule>
  </conditionalFormatting>
  <conditionalFormatting sqref="F106:H135">
    <cfRule type="expression" dxfId="179" priority="1">
      <formula>#REF!="NO"</formula>
    </cfRule>
  </conditionalFormatting>
  <conditionalFormatting sqref="G8:H8">
    <cfRule type="expression" dxfId="178" priority="90">
      <formula>$F$2="NO"</formula>
    </cfRule>
  </conditionalFormatting>
  <conditionalFormatting sqref="G9:H9">
    <cfRule type="expression" dxfId="177" priority="88">
      <formula>#REF!="NO"</formula>
    </cfRule>
  </conditionalFormatting>
  <conditionalFormatting sqref="G10:H16">
    <cfRule type="expression" dxfId="176" priority="92">
      <formula>$F$2="NO"</formula>
    </cfRule>
  </conditionalFormatting>
  <conditionalFormatting sqref="G17:H17">
    <cfRule type="expression" dxfId="175" priority="166">
      <formula>#REF!="NO"</formula>
    </cfRule>
  </conditionalFormatting>
  <conditionalFormatting sqref="G21:H21">
    <cfRule type="expression" dxfId="174" priority="86">
      <formula>$F$2="NO"</formula>
    </cfRule>
  </conditionalFormatting>
  <conditionalFormatting sqref="G22:H22">
    <cfRule type="expression" dxfId="173" priority="84">
      <formula>#REF!="NO"</formula>
    </cfRule>
  </conditionalFormatting>
  <conditionalFormatting sqref="G26:H28">
    <cfRule type="expression" dxfId="172" priority="66">
      <formula>#REF!="NO"</formula>
    </cfRule>
  </conditionalFormatting>
  <conditionalFormatting sqref="G29:H80">
    <cfRule type="expression" dxfId="171" priority="67">
      <formula>$F$2="NO"</formula>
    </cfRule>
  </conditionalFormatting>
  <conditionalFormatting sqref="G56:H57">
    <cfRule type="expression" dxfId="170" priority="75">
      <formula>#REF!="NO"</formula>
    </cfRule>
  </conditionalFormatting>
  <conditionalFormatting sqref="G65:H65">
    <cfRule type="expression" dxfId="169" priority="81">
      <formula>#REF!="NO"</formula>
    </cfRule>
  </conditionalFormatting>
  <dataValidations count="3">
    <dataValidation type="decimal" operator="greaterThanOrEqual" allowBlank="1" showInputMessage="1" showErrorMessage="1" error="The Pickup Allowance cannot be a negative number." sqref="F16:H16" xr:uid="{00000000-0002-0000-0200-000002000000}">
      <formula1>0</formula1>
    </dataValidation>
    <dataValidation type="decimal" allowBlank="1" showInputMessage="1" showErrorMessage="1" error="Invalid Entry - Bidder must enter a value that is greater than $0" sqref="F21:H21" xr:uid="{00000000-0002-0000-0200-000001000000}">
      <formula1>0</formula1>
      <formula2>9E+21</formula2>
    </dataValidation>
    <dataValidation type="decimal" allowBlank="1" showInputMessage="1" showErrorMessage="1" error="The Additional Options NYS Discount entered must be greater than 0%, or less than or equal to 100%." sqref="F22:H22" xr:uid="{00000000-0002-0000-0200-000000000000}">
      <formula1>0.01</formula1>
      <formula2>100</formula2>
    </dataValidation>
  </dataValidations>
  <pageMargins left="0.25" right="0.25" top="0.5" bottom="0.25" header="0.3" footer="0.3"/>
  <pageSetup scale="72" fitToHeight="0" orientation="landscape" r:id="rId1"/>
  <rowBreaks count="2" manualBreakCount="2">
    <brk id="57" max="6" man="1"/>
    <brk id="102"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6D2CF-F773-4F0C-8A1B-1A7635E86A71}">
  <sheetPr>
    <tabColor theme="5"/>
    <pageSetUpPr autoPageBreaks="0" fitToPage="1"/>
  </sheetPr>
  <dimension ref="A1:H135"/>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5703125" style="187" bestFit="1" customWidth="1"/>
    <col min="7" max="8" width="21.5703125" style="210" bestFit="1" customWidth="1"/>
    <col min="9" max="16384" width="9.140625" style="2"/>
  </cols>
  <sheetData>
    <row r="1" spans="1:8" ht="18" customHeight="1" x14ac:dyDescent="0.2">
      <c r="A1" s="165" t="str">
        <f>'A (Item 2-G)'!$A$1</f>
        <v>GROUP 40524-23254, SCHOOL BUSES (Statewide)                                                             Attachment 1 - Specifications and Pricing (Revised October 15, 2026)</v>
      </c>
      <c r="F1" s="210"/>
    </row>
    <row r="2" spans="1:8" s="25" customFormat="1" ht="18" customHeight="1" thickBot="1" x14ac:dyDescent="0.3">
      <c r="A2" s="316" t="str">
        <f>'Attachment 1 - Summary'!B2</f>
        <v>PC69864 New York Bus Sales, LLC</v>
      </c>
      <c r="B2" s="26"/>
      <c r="C2" s="26"/>
      <c r="D2" s="26"/>
      <c r="E2" s="26"/>
      <c r="F2" s="314"/>
      <c r="G2" s="316"/>
      <c r="H2" s="316"/>
    </row>
    <row r="3" spans="1:8" ht="24" thickBot="1" x14ac:dyDescent="0.25">
      <c r="A3" s="437" t="s">
        <v>268</v>
      </c>
      <c r="B3" s="438"/>
      <c r="C3" s="438"/>
      <c r="D3" s="439"/>
      <c r="E3" s="9"/>
      <c r="F3" s="312"/>
    </row>
    <row r="4" spans="1:8" ht="51" customHeight="1" thickBot="1" x14ac:dyDescent="0.25">
      <c r="A4" s="343" t="s">
        <v>267</v>
      </c>
      <c r="B4" s="344"/>
      <c r="C4" s="344"/>
      <c r="D4" s="345"/>
      <c r="E4" s="9"/>
      <c r="F4" s="312"/>
    </row>
    <row r="5" spans="1:8" s="4" customFormat="1" ht="11.25" customHeight="1" thickBot="1" x14ac:dyDescent="0.3">
      <c r="A5" s="57"/>
      <c r="B5" s="57"/>
      <c r="C5" s="57"/>
      <c r="D5" s="57"/>
      <c r="E5" s="57"/>
      <c r="F5" s="313"/>
      <c r="G5" s="224"/>
      <c r="H5" s="224"/>
    </row>
    <row r="6" spans="1:8" s="8" customFormat="1" ht="16.5" thickBot="1" x14ac:dyDescent="0.25">
      <c r="A6" s="346" t="s">
        <v>151</v>
      </c>
      <c r="B6" s="347"/>
      <c r="C6" s="347"/>
      <c r="D6" s="348"/>
      <c r="E6" s="36"/>
      <c r="F6" s="417" t="s">
        <v>420</v>
      </c>
      <c r="G6" s="418"/>
      <c r="H6" s="419"/>
    </row>
    <row r="7" spans="1:8" s="4" customFormat="1" ht="15" customHeight="1" thickBot="1" x14ac:dyDescent="0.3">
      <c r="A7" s="41" t="s">
        <v>6</v>
      </c>
      <c r="B7" s="27" t="s">
        <v>165</v>
      </c>
      <c r="C7" s="32"/>
      <c r="D7" s="40"/>
      <c r="E7" s="37"/>
      <c r="F7" s="216" t="s">
        <v>19</v>
      </c>
      <c r="G7" s="217" t="s">
        <v>248</v>
      </c>
      <c r="H7" s="218" t="s">
        <v>269</v>
      </c>
    </row>
    <row r="8" spans="1:8" ht="65.25" thickTop="1" thickBot="1" x14ac:dyDescent="0.25">
      <c r="A8" s="42" t="s">
        <v>9</v>
      </c>
      <c r="B8" s="337" t="s">
        <v>152</v>
      </c>
      <c r="C8" s="338"/>
      <c r="D8" s="339"/>
      <c r="E8" s="13"/>
      <c r="F8" s="167" t="s">
        <v>419</v>
      </c>
      <c r="G8" s="219" t="s">
        <v>416</v>
      </c>
      <c r="H8" s="219" t="s">
        <v>416</v>
      </c>
    </row>
    <row r="9" spans="1:8" s="8" customFormat="1" ht="44.25" customHeight="1" thickTop="1" thickBot="1" x14ac:dyDescent="0.25">
      <c r="A9" s="42" t="s">
        <v>136</v>
      </c>
      <c r="B9" s="337" t="s">
        <v>191</v>
      </c>
      <c r="C9" s="338"/>
      <c r="D9" s="339"/>
      <c r="E9" s="13"/>
      <c r="F9" s="167" t="s">
        <v>458</v>
      </c>
      <c r="G9" s="219" t="s">
        <v>458</v>
      </c>
      <c r="H9" s="219" t="s">
        <v>458</v>
      </c>
    </row>
    <row r="10" spans="1:8" ht="12.75" customHeight="1" thickTop="1" x14ac:dyDescent="0.2">
      <c r="A10" s="43" t="s">
        <v>0</v>
      </c>
      <c r="B10" s="328" t="s">
        <v>154</v>
      </c>
      <c r="C10" s="329"/>
      <c r="D10" s="330"/>
      <c r="E10" s="13"/>
      <c r="F10" s="169" t="s">
        <v>420</v>
      </c>
      <c r="G10" s="220" t="s">
        <v>420</v>
      </c>
      <c r="H10" s="220" t="s">
        <v>420</v>
      </c>
    </row>
    <row r="11" spans="1:8" x14ac:dyDescent="0.2">
      <c r="A11" s="43" t="s">
        <v>1</v>
      </c>
      <c r="B11" s="328" t="s">
        <v>153</v>
      </c>
      <c r="C11" s="329"/>
      <c r="D11" s="330"/>
      <c r="E11" s="13"/>
      <c r="F11" s="169" t="s">
        <v>421</v>
      </c>
      <c r="G11" s="220" t="s">
        <v>421</v>
      </c>
      <c r="H11" s="220" t="s">
        <v>421</v>
      </c>
    </row>
    <row r="12" spans="1:8" ht="12.75" customHeight="1" thickBot="1" x14ac:dyDescent="0.25">
      <c r="A12" s="44" t="s">
        <v>2</v>
      </c>
      <c r="B12" s="331" t="s">
        <v>155</v>
      </c>
      <c r="C12" s="332"/>
      <c r="D12" s="333"/>
      <c r="E12" s="13"/>
      <c r="F12" s="170">
        <v>2807</v>
      </c>
      <c r="G12" s="221">
        <v>2807</v>
      </c>
      <c r="H12" s="221">
        <v>2807</v>
      </c>
    </row>
    <row r="13" spans="1:8" ht="13.5" thickTop="1" x14ac:dyDescent="0.2">
      <c r="A13" s="43" t="s">
        <v>3</v>
      </c>
      <c r="B13" s="328" t="s">
        <v>157</v>
      </c>
      <c r="C13" s="329"/>
      <c r="D13" s="330"/>
      <c r="E13" s="13"/>
      <c r="F13" s="169" t="s">
        <v>420</v>
      </c>
      <c r="G13" s="220" t="s">
        <v>420</v>
      </c>
      <c r="H13" s="220" t="s">
        <v>420</v>
      </c>
    </row>
    <row r="14" spans="1:8" x14ac:dyDescent="0.2">
      <c r="A14" s="43" t="s">
        <v>4</v>
      </c>
      <c r="B14" s="328" t="s">
        <v>156</v>
      </c>
      <c r="C14" s="329"/>
      <c r="D14" s="330"/>
      <c r="E14" s="13"/>
      <c r="F14" s="169" t="s">
        <v>422</v>
      </c>
      <c r="G14" s="220" t="s">
        <v>422</v>
      </c>
      <c r="H14" s="220" t="s">
        <v>422</v>
      </c>
    </row>
    <row r="15" spans="1:8" ht="15.75" customHeight="1" thickBot="1" x14ac:dyDescent="0.25">
      <c r="A15" s="45" t="s">
        <v>5</v>
      </c>
      <c r="B15" s="331" t="s">
        <v>158</v>
      </c>
      <c r="C15" s="332"/>
      <c r="D15" s="333"/>
      <c r="E15" s="13"/>
      <c r="F15" s="172">
        <v>2807</v>
      </c>
      <c r="G15" s="221">
        <v>2807</v>
      </c>
      <c r="H15" s="221">
        <v>2807</v>
      </c>
    </row>
    <row r="16" spans="1:8" ht="29.25" customHeight="1" thickTop="1" x14ac:dyDescent="0.2">
      <c r="A16" s="43" t="s">
        <v>101</v>
      </c>
      <c r="B16" s="334" t="s">
        <v>160</v>
      </c>
      <c r="C16" s="335"/>
      <c r="D16" s="336"/>
      <c r="E16" s="13"/>
      <c r="F16" s="173">
        <v>100</v>
      </c>
      <c r="G16" s="222">
        <v>100</v>
      </c>
      <c r="H16" s="222">
        <v>100</v>
      </c>
    </row>
    <row r="17" spans="1:8" ht="30.75" customHeight="1" thickBot="1" x14ac:dyDescent="0.25">
      <c r="A17" s="45" t="s">
        <v>43</v>
      </c>
      <c r="B17" s="331" t="s">
        <v>159</v>
      </c>
      <c r="C17" s="332"/>
      <c r="D17" s="333"/>
      <c r="E17" s="13"/>
      <c r="F17" s="172" t="s">
        <v>334</v>
      </c>
      <c r="G17" s="223" t="s">
        <v>334</v>
      </c>
      <c r="H17" s="223" t="s">
        <v>334</v>
      </c>
    </row>
    <row r="18" spans="1:8" s="10" customFormat="1" ht="14.25" thickTop="1" thickBot="1" x14ac:dyDescent="0.25">
      <c r="C18" s="11"/>
      <c r="D18" s="11"/>
      <c r="E18" s="11"/>
      <c r="F18" s="175"/>
      <c r="G18" s="224"/>
      <c r="H18" s="224"/>
    </row>
    <row r="19" spans="1:8" s="12" customFormat="1" ht="16.5" thickBot="1" x14ac:dyDescent="0.25">
      <c r="A19" s="346" t="s">
        <v>150</v>
      </c>
      <c r="B19" s="347"/>
      <c r="C19" s="347"/>
      <c r="D19" s="348"/>
      <c r="E19" s="36"/>
      <c r="F19" s="417" t="s">
        <v>420</v>
      </c>
      <c r="G19" s="418"/>
      <c r="H19" s="419"/>
    </row>
    <row r="20" spans="1:8" s="4" customFormat="1" ht="15" customHeight="1" thickBot="1" x14ac:dyDescent="0.3">
      <c r="A20" s="55" t="s">
        <v>6</v>
      </c>
      <c r="B20" s="31" t="s">
        <v>165</v>
      </c>
      <c r="C20" s="33"/>
      <c r="D20" s="48"/>
      <c r="E20" s="37"/>
      <c r="F20" s="216" t="s">
        <v>19</v>
      </c>
      <c r="G20" s="217" t="s">
        <v>248</v>
      </c>
      <c r="H20" s="218" t="s">
        <v>269</v>
      </c>
    </row>
    <row r="21" spans="1:8" ht="56.25" customHeight="1" x14ac:dyDescent="0.2">
      <c r="A21" s="46" t="s">
        <v>42</v>
      </c>
      <c r="B21" s="349" t="s">
        <v>161</v>
      </c>
      <c r="C21" s="350"/>
      <c r="D21" s="351"/>
      <c r="E21" s="13"/>
      <c r="F21" s="197">
        <f>133300*('PPI Adj'!D6)</f>
        <v>155561.1</v>
      </c>
      <c r="G21" s="214">
        <f>130300*('PPI Adj'!D6)</f>
        <v>152060.1</v>
      </c>
      <c r="H21" s="214">
        <f>140300*('PPI Adj'!D6)</f>
        <v>163730.1</v>
      </c>
    </row>
    <row r="22" spans="1:8" ht="28.5" customHeight="1" thickBot="1" x14ac:dyDescent="0.25">
      <c r="A22" s="47" t="s">
        <v>41</v>
      </c>
      <c r="B22" s="370" t="s">
        <v>163</v>
      </c>
      <c r="C22" s="371"/>
      <c r="D22" s="372"/>
      <c r="E22" s="1"/>
      <c r="F22" s="179">
        <v>22</v>
      </c>
      <c r="G22" s="179">
        <v>22</v>
      </c>
      <c r="H22" s="179">
        <v>22</v>
      </c>
    </row>
    <row r="23" spans="1:8" ht="13.5" thickBot="1" x14ac:dyDescent="0.25">
      <c r="A23" s="58"/>
      <c r="B23" s="1"/>
      <c r="C23" s="1"/>
      <c r="D23" s="1"/>
      <c r="E23" s="1"/>
      <c r="F23" s="180"/>
      <c r="G23" s="212"/>
      <c r="H23" s="212"/>
    </row>
    <row r="24" spans="1:8" s="8" customFormat="1" ht="16.5" thickBot="1" x14ac:dyDescent="0.25">
      <c r="A24" s="373" t="s">
        <v>164</v>
      </c>
      <c r="B24" s="374"/>
      <c r="C24" s="374"/>
      <c r="D24" s="375"/>
      <c r="E24" s="38"/>
      <c r="F24" s="417" t="s">
        <v>420</v>
      </c>
      <c r="G24" s="418"/>
      <c r="H24" s="419"/>
    </row>
    <row r="25" spans="1:8" s="3" customFormat="1" ht="15" customHeight="1" thickBot="1" x14ac:dyDescent="0.3">
      <c r="A25" s="55" t="s">
        <v>6</v>
      </c>
      <c r="B25" s="56" t="s">
        <v>7</v>
      </c>
      <c r="C25" s="376" t="s">
        <v>165</v>
      </c>
      <c r="D25" s="377"/>
      <c r="E25" s="39"/>
      <c r="F25" s="216" t="s">
        <v>19</v>
      </c>
      <c r="G25" s="217" t="s">
        <v>248</v>
      </c>
      <c r="H25" s="218" t="s">
        <v>269</v>
      </c>
    </row>
    <row r="26" spans="1:8" s="13" customFormat="1" ht="78.599999999999994" customHeight="1" thickBot="1" x14ac:dyDescent="0.3">
      <c r="A26" s="49" t="s">
        <v>8</v>
      </c>
      <c r="B26" s="29" t="s">
        <v>259</v>
      </c>
      <c r="C26" s="352" t="s">
        <v>118</v>
      </c>
      <c r="D26" s="353"/>
      <c r="E26" s="34"/>
      <c r="F26" s="174">
        <v>29000</v>
      </c>
      <c r="G26" s="236">
        <v>29000</v>
      </c>
      <c r="H26" s="236">
        <v>29000</v>
      </c>
    </row>
    <row r="27" spans="1:8" s="13" customFormat="1" x14ac:dyDescent="0.25">
      <c r="A27" s="354" t="s">
        <v>21</v>
      </c>
      <c r="B27" s="356" t="s">
        <v>266</v>
      </c>
      <c r="C27" s="358" t="s">
        <v>67</v>
      </c>
      <c r="D27" s="359"/>
      <c r="E27" s="34"/>
      <c r="F27" s="183">
        <v>10</v>
      </c>
      <c r="G27" s="183">
        <v>10</v>
      </c>
      <c r="H27" s="183">
        <v>10</v>
      </c>
    </row>
    <row r="28" spans="1:8" s="13" customFormat="1" ht="13.5" thickBot="1" x14ac:dyDescent="0.3">
      <c r="A28" s="355"/>
      <c r="B28" s="357"/>
      <c r="C28" s="352" t="s">
        <v>68</v>
      </c>
      <c r="D28" s="353"/>
      <c r="E28" s="34"/>
      <c r="F28" s="174">
        <v>59</v>
      </c>
      <c r="G28" s="174">
        <v>59</v>
      </c>
      <c r="H28" s="174">
        <v>59</v>
      </c>
    </row>
    <row r="29" spans="1:8" s="13" customFormat="1" ht="13.5" thickBot="1" x14ac:dyDescent="0.3">
      <c r="A29" s="50" t="s">
        <v>123</v>
      </c>
      <c r="B29" s="30" t="s">
        <v>108</v>
      </c>
      <c r="C29" s="368"/>
      <c r="D29" s="369"/>
      <c r="E29" s="35"/>
      <c r="F29" s="184"/>
      <c r="G29" s="184"/>
      <c r="H29" s="184"/>
    </row>
    <row r="30" spans="1:8" s="13" customFormat="1" x14ac:dyDescent="0.25">
      <c r="A30" s="354" t="s">
        <v>59</v>
      </c>
      <c r="B30" s="356"/>
      <c r="C30" s="358" t="s">
        <v>58</v>
      </c>
      <c r="D30" s="359"/>
      <c r="E30" s="34"/>
      <c r="F30" s="183" t="s">
        <v>459</v>
      </c>
      <c r="G30" s="183" t="s">
        <v>459</v>
      </c>
      <c r="H30" s="183" t="s">
        <v>459</v>
      </c>
    </row>
    <row r="31" spans="1:8" s="13" customFormat="1" x14ac:dyDescent="0.25">
      <c r="A31" s="362"/>
      <c r="B31" s="363"/>
      <c r="C31" s="364" t="s">
        <v>57</v>
      </c>
      <c r="D31" s="365"/>
      <c r="E31" s="34"/>
      <c r="F31" s="169" t="s">
        <v>460</v>
      </c>
      <c r="G31" s="169" t="s">
        <v>460</v>
      </c>
      <c r="H31" s="169" t="s">
        <v>460</v>
      </c>
    </row>
    <row r="32" spans="1:8" s="13" customFormat="1" x14ac:dyDescent="0.25">
      <c r="A32" s="362"/>
      <c r="B32" s="363"/>
      <c r="C32" s="364" t="s">
        <v>69</v>
      </c>
      <c r="D32" s="365"/>
      <c r="E32" s="34"/>
      <c r="F32" s="169" t="s">
        <v>423</v>
      </c>
      <c r="G32" s="169" t="s">
        <v>423</v>
      </c>
      <c r="H32" s="169" t="s">
        <v>423</v>
      </c>
    </row>
    <row r="33" spans="1:8" s="13" customFormat="1" x14ac:dyDescent="0.25">
      <c r="A33" s="362"/>
      <c r="B33" s="363"/>
      <c r="C33" s="366" t="s">
        <v>70</v>
      </c>
      <c r="D33" s="367"/>
      <c r="E33" s="34"/>
      <c r="F33" s="169" t="s">
        <v>424</v>
      </c>
      <c r="G33" s="169" t="s">
        <v>424</v>
      </c>
      <c r="H33" s="169" t="s">
        <v>424</v>
      </c>
    </row>
    <row r="34" spans="1:8" s="13" customFormat="1" ht="13.5" thickBot="1" x14ac:dyDescent="0.3">
      <c r="A34" s="355"/>
      <c r="B34" s="357"/>
      <c r="C34" s="352" t="s">
        <v>111</v>
      </c>
      <c r="D34" s="353"/>
      <c r="E34" s="34"/>
      <c r="F34" s="174" t="s">
        <v>461</v>
      </c>
      <c r="G34" s="174" t="s">
        <v>461</v>
      </c>
      <c r="H34" s="174" t="s">
        <v>461</v>
      </c>
    </row>
    <row r="35" spans="1:8" s="13" customFormat="1" ht="16.5" customHeight="1" thickBot="1" x14ac:dyDescent="0.3">
      <c r="A35" s="50" t="s">
        <v>224</v>
      </c>
      <c r="B35" s="30" t="s">
        <v>223</v>
      </c>
      <c r="C35" s="368"/>
      <c r="D35" s="369"/>
      <c r="E35" s="35"/>
      <c r="F35" s="184"/>
      <c r="G35" s="184"/>
      <c r="H35" s="184"/>
    </row>
    <row r="36" spans="1:8" s="13" customFormat="1" x14ac:dyDescent="0.25">
      <c r="A36" s="354" t="s">
        <v>11</v>
      </c>
      <c r="B36" s="356"/>
      <c r="C36" s="358" t="s">
        <v>24</v>
      </c>
      <c r="D36" s="359"/>
      <c r="E36" s="34"/>
      <c r="F36" s="183">
        <v>10000</v>
      </c>
      <c r="G36" s="237">
        <v>10000</v>
      </c>
      <c r="H36" s="237">
        <v>10000</v>
      </c>
    </row>
    <row r="37" spans="1:8" s="13" customFormat="1" ht="13.5" thickBot="1" x14ac:dyDescent="0.3">
      <c r="A37" s="355"/>
      <c r="B37" s="357"/>
      <c r="C37" s="352" t="s">
        <v>22</v>
      </c>
      <c r="D37" s="353"/>
      <c r="E37" s="34"/>
      <c r="F37" s="174">
        <v>12000</v>
      </c>
      <c r="G37" s="238">
        <v>12000</v>
      </c>
      <c r="H37" s="238">
        <v>12000</v>
      </c>
    </row>
    <row r="38" spans="1:8" s="13" customFormat="1" x14ac:dyDescent="0.25">
      <c r="A38" s="354" t="s">
        <v>16</v>
      </c>
      <c r="B38" s="356"/>
      <c r="C38" s="358" t="s">
        <v>24</v>
      </c>
      <c r="D38" s="359"/>
      <c r="E38" s="34"/>
      <c r="F38" s="183">
        <v>19000</v>
      </c>
      <c r="G38" s="237">
        <v>19000</v>
      </c>
      <c r="H38" s="237">
        <v>19000</v>
      </c>
    </row>
    <row r="39" spans="1:8" s="13" customFormat="1" ht="13.5" thickBot="1" x14ac:dyDescent="0.3">
      <c r="A39" s="355"/>
      <c r="B39" s="357"/>
      <c r="C39" s="360" t="s">
        <v>23</v>
      </c>
      <c r="D39" s="361"/>
      <c r="E39" s="34"/>
      <c r="F39" s="174">
        <v>21000</v>
      </c>
      <c r="G39" s="238">
        <v>21000</v>
      </c>
      <c r="H39" s="238">
        <v>21000</v>
      </c>
    </row>
    <row r="40" spans="1:8" s="13" customFormat="1" ht="15.6" customHeight="1" thickBot="1" x14ac:dyDescent="0.3">
      <c r="A40" s="50" t="s">
        <v>52</v>
      </c>
      <c r="B40" s="30" t="s">
        <v>53</v>
      </c>
      <c r="C40" s="368"/>
      <c r="D40" s="369"/>
      <c r="E40" s="35"/>
      <c r="F40" s="184"/>
      <c r="G40" s="184"/>
      <c r="H40" s="184"/>
    </row>
    <row r="41" spans="1:8" s="13" customFormat="1" x14ac:dyDescent="0.25">
      <c r="A41" s="354" t="s">
        <v>219</v>
      </c>
      <c r="B41" s="442" t="s">
        <v>222</v>
      </c>
      <c r="C41" s="358" t="s">
        <v>221</v>
      </c>
      <c r="D41" s="359"/>
      <c r="E41" s="34"/>
      <c r="F41" s="183" t="s">
        <v>257</v>
      </c>
      <c r="G41" s="183" t="s">
        <v>257</v>
      </c>
      <c r="H41" s="183" t="s">
        <v>257</v>
      </c>
    </row>
    <row r="42" spans="1:8" s="13" customFormat="1" ht="14.45" customHeight="1" x14ac:dyDescent="0.25">
      <c r="A42" s="362"/>
      <c r="B42" s="443"/>
      <c r="C42" s="364" t="s">
        <v>220</v>
      </c>
      <c r="D42" s="365"/>
      <c r="E42" s="34"/>
      <c r="F42" s="169" t="s">
        <v>425</v>
      </c>
      <c r="G42" s="169" t="s">
        <v>425</v>
      </c>
      <c r="H42" s="169" t="s">
        <v>425</v>
      </c>
    </row>
    <row r="43" spans="1:8" s="13" customFormat="1" ht="80.099999999999994" customHeight="1" thickBot="1" x14ac:dyDescent="0.3">
      <c r="A43" s="355"/>
      <c r="B43" s="443"/>
      <c r="C43" s="360"/>
      <c r="D43" s="361"/>
      <c r="E43" s="34"/>
      <c r="F43" s="171"/>
      <c r="G43" s="171"/>
      <c r="H43" s="171"/>
    </row>
    <row r="44" spans="1:8" s="13" customFormat="1" ht="27.95" customHeight="1" thickBot="1" x14ac:dyDescent="0.3">
      <c r="A44" s="50" t="s">
        <v>219</v>
      </c>
      <c r="B44" s="30" t="s">
        <v>218</v>
      </c>
      <c r="C44" s="368"/>
      <c r="D44" s="369"/>
      <c r="E44" s="35"/>
      <c r="F44" s="184"/>
      <c r="G44" s="184"/>
      <c r="H44" s="184"/>
    </row>
    <row r="45" spans="1:8" s="13" customFormat="1" ht="13.5" thickBot="1" x14ac:dyDescent="0.3">
      <c r="A45" s="378" t="s">
        <v>12</v>
      </c>
      <c r="B45" s="379" t="s">
        <v>142</v>
      </c>
      <c r="C45" s="358" t="s">
        <v>174</v>
      </c>
      <c r="D45" s="359"/>
      <c r="E45" s="34"/>
      <c r="F45" s="183" t="s">
        <v>278</v>
      </c>
      <c r="G45" s="183" t="s">
        <v>278</v>
      </c>
      <c r="H45" s="183" t="s">
        <v>278</v>
      </c>
    </row>
    <row r="46" spans="1:8" s="13" customFormat="1" ht="13.5" thickBot="1" x14ac:dyDescent="0.3">
      <c r="A46" s="378"/>
      <c r="B46" s="379"/>
      <c r="C46" s="364" t="s">
        <v>175</v>
      </c>
      <c r="D46" s="365"/>
      <c r="E46" s="34"/>
      <c r="F46" s="169">
        <v>6610</v>
      </c>
      <c r="G46" s="239">
        <v>6610</v>
      </c>
      <c r="H46" s="239">
        <v>6610</v>
      </c>
    </row>
    <row r="47" spans="1:8" s="13" customFormat="1" ht="13.5" thickBot="1" x14ac:dyDescent="0.3">
      <c r="A47" s="378"/>
      <c r="B47" s="379"/>
      <c r="C47" s="364" t="s">
        <v>176</v>
      </c>
      <c r="D47" s="365"/>
      <c r="E47" s="34"/>
      <c r="F47" s="185" t="s">
        <v>278</v>
      </c>
      <c r="G47" s="185" t="s">
        <v>278</v>
      </c>
      <c r="H47" s="185" t="s">
        <v>278</v>
      </c>
    </row>
    <row r="48" spans="1:8" s="13" customFormat="1" ht="13.5" thickBot="1" x14ac:dyDescent="0.3">
      <c r="A48" s="378"/>
      <c r="B48" s="379"/>
      <c r="C48" s="364" t="s">
        <v>177</v>
      </c>
      <c r="D48" s="365"/>
      <c r="E48" s="34"/>
      <c r="F48" s="169">
        <v>6005</v>
      </c>
      <c r="G48" s="239">
        <v>6005</v>
      </c>
      <c r="H48" s="239">
        <v>6005</v>
      </c>
    </row>
    <row r="49" spans="1:8" s="13" customFormat="1" ht="13.5" thickBot="1" x14ac:dyDescent="0.3">
      <c r="A49" s="378"/>
      <c r="B49" s="379"/>
      <c r="C49" s="364" t="s">
        <v>112</v>
      </c>
      <c r="D49" s="365"/>
      <c r="E49" s="34"/>
      <c r="F49" s="169" t="s">
        <v>426</v>
      </c>
      <c r="G49" s="169" t="s">
        <v>426</v>
      </c>
      <c r="H49" s="169" t="s">
        <v>426</v>
      </c>
    </row>
    <row r="50" spans="1:8" s="13" customFormat="1" ht="13.5" thickBot="1" x14ac:dyDescent="0.3">
      <c r="A50" s="378"/>
      <c r="B50" s="379"/>
      <c r="C50" s="364" t="s">
        <v>113</v>
      </c>
      <c r="D50" s="365"/>
      <c r="E50" s="34"/>
      <c r="F50" s="169" t="s">
        <v>427</v>
      </c>
      <c r="G50" s="169" t="s">
        <v>427</v>
      </c>
      <c r="H50" s="169" t="s">
        <v>427</v>
      </c>
    </row>
    <row r="51" spans="1:8" s="13" customFormat="1" ht="13.5" thickBot="1" x14ac:dyDescent="0.3">
      <c r="A51" s="378"/>
      <c r="B51" s="379"/>
      <c r="C51" s="366" t="s">
        <v>114</v>
      </c>
      <c r="D51" s="367"/>
      <c r="E51" s="34"/>
      <c r="F51" s="169" t="s">
        <v>426</v>
      </c>
      <c r="G51" s="169" t="s">
        <v>426</v>
      </c>
      <c r="H51" s="169" t="s">
        <v>426</v>
      </c>
    </row>
    <row r="52" spans="1:8" s="13" customFormat="1" ht="13.5" thickBot="1" x14ac:dyDescent="0.3">
      <c r="A52" s="378"/>
      <c r="B52" s="379"/>
      <c r="C52" s="352" t="s">
        <v>115</v>
      </c>
      <c r="D52" s="353"/>
      <c r="E52" s="34"/>
      <c r="F52" s="174" t="s">
        <v>427</v>
      </c>
      <c r="G52" s="174" t="s">
        <v>427</v>
      </c>
      <c r="H52" s="174" t="s">
        <v>427</v>
      </c>
    </row>
    <row r="53" spans="1:8" s="13" customFormat="1" x14ac:dyDescent="0.25">
      <c r="A53" s="354" t="s">
        <v>10</v>
      </c>
      <c r="B53" s="356" t="s">
        <v>217</v>
      </c>
      <c r="C53" s="358" t="s">
        <v>116</v>
      </c>
      <c r="D53" s="359"/>
      <c r="E53" s="34"/>
      <c r="F53" s="183">
        <v>5</v>
      </c>
      <c r="G53" s="183">
        <v>5</v>
      </c>
      <c r="H53" s="183">
        <v>5</v>
      </c>
    </row>
    <row r="54" spans="1:8" s="13" customFormat="1" x14ac:dyDescent="0.25">
      <c r="A54" s="362"/>
      <c r="B54" s="363"/>
      <c r="C54" s="364" t="s">
        <v>117</v>
      </c>
      <c r="D54" s="365"/>
      <c r="E54" s="34"/>
      <c r="F54" s="169" t="s">
        <v>197</v>
      </c>
      <c r="G54" s="169" t="s">
        <v>197</v>
      </c>
      <c r="H54" s="169" t="s">
        <v>197</v>
      </c>
    </row>
    <row r="55" spans="1:8" s="13" customFormat="1" ht="13.5" thickBot="1" x14ac:dyDescent="0.3">
      <c r="A55" s="362"/>
      <c r="B55" s="363"/>
      <c r="C55" s="360" t="s">
        <v>71</v>
      </c>
      <c r="D55" s="361"/>
      <c r="E55" s="34"/>
      <c r="F55" s="171" t="s">
        <v>428</v>
      </c>
      <c r="G55" s="171" t="s">
        <v>428</v>
      </c>
      <c r="H55" s="171" t="s">
        <v>428</v>
      </c>
    </row>
    <row r="56" spans="1:8" s="13" customFormat="1" ht="78.599999999999994" customHeight="1" thickBot="1" x14ac:dyDescent="0.3">
      <c r="A56" s="51" t="s">
        <v>9</v>
      </c>
      <c r="B56" s="28" t="s">
        <v>256</v>
      </c>
      <c r="C56" s="366"/>
      <c r="D56" s="367"/>
      <c r="E56" s="34"/>
      <c r="F56" s="183"/>
      <c r="G56" s="183"/>
      <c r="H56" s="183"/>
    </row>
    <row r="57" spans="1:8" s="13" customFormat="1" ht="28.5" customHeight="1" thickBot="1" x14ac:dyDescent="0.3">
      <c r="A57" s="51" t="s">
        <v>255</v>
      </c>
      <c r="B57" s="28" t="s">
        <v>254</v>
      </c>
      <c r="C57" s="368"/>
      <c r="D57" s="369"/>
      <c r="E57" s="35"/>
      <c r="F57" s="186" t="s">
        <v>429</v>
      </c>
      <c r="G57" s="183" t="s">
        <v>429</v>
      </c>
      <c r="H57" s="183" t="s">
        <v>429</v>
      </c>
    </row>
    <row r="58" spans="1:8" s="13" customFormat="1" x14ac:dyDescent="0.25">
      <c r="A58" s="354" t="s">
        <v>25</v>
      </c>
      <c r="B58" s="356" t="s">
        <v>93</v>
      </c>
      <c r="C58" s="358" t="s">
        <v>72</v>
      </c>
      <c r="D58" s="359"/>
      <c r="E58" s="34"/>
      <c r="F58" s="183" t="s">
        <v>430</v>
      </c>
      <c r="G58" s="183" t="s">
        <v>430</v>
      </c>
      <c r="H58" s="183" t="s">
        <v>430</v>
      </c>
    </row>
    <row r="59" spans="1:8" s="13" customFormat="1" ht="61.5" customHeight="1" thickBot="1" x14ac:dyDescent="0.3">
      <c r="A59" s="355"/>
      <c r="B59" s="357"/>
      <c r="C59" s="352" t="s">
        <v>73</v>
      </c>
      <c r="D59" s="353"/>
      <c r="E59" s="34"/>
      <c r="F59" s="174">
        <v>240</v>
      </c>
      <c r="G59" s="174">
        <v>240</v>
      </c>
      <c r="H59" s="174">
        <v>240</v>
      </c>
    </row>
    <row r="60" spans="1:8" s="13" customFormat="1" x14ac:dyDescent="0.25">
      <c r="A60" s="354" t="s">
        <v>26</v>
      </c>
      <c r="B60" s="356" t="s">
        <v>253</v>
      </c>
      <c r="C60" s="358" t="s">
        <v>74</v>
      </c>
      <c r="D60" s="359"/>
      <c r="E60" s="34"/>
      <c r="F60" s="183" t="s">
        <v>431</v>
      </c>
      <c r="G60" s="183" t="s">
        <v>431</v>
      </c>
      <c r="H60" s="183" t="s">
        <v>431</v>
      </c>
    </row>
    <row r="61" spans="1:8" s="13" customFormat="1" x14ac:dyDescent="0.25">
      <c r="A61" s="362"/>
      <c r="B61" s="363"/>
      <c r="C61" s="364" t="s">
        <v>75</v>
      </c>
      <c r="D61" s="365"/>
      <c r="E61" s="34"/>
      <c r="F61" s="169">
        <v>3</v>
      </c>
      <c r="G61" s="169">
        <v>3</v>
      </c>
      <c r="H61" s="169">
        <v>3</v>
      </c>
    </row>
    <row r="62" spans="1:8" s="13" customFormat="1" ht="32.25" customHeight="1" thickBot="1" x14ac:dyDescent="0.3">
      <c r="A62" s="355"/>
      <c r="B62" s="357"/>
      <c r="C62" s="352" t="s">
        <v>252</v>
      </c>
      <c r="D62" s="353"/>
      <c r="E62" s="34"/>
      <c r="F62" s="174">
        <v>700</v>
      </c>
      <c r="G62" s="174">
        <v>700</v>
      </c>
      <c r="H62" s="174">
        <v>700</v>
      </c>
    </row>
    <row r="63" spans="1:8" s="13" customFormat="1" ht="17.100000000000001" customHeight="1" thickBot="1" x14ac:dyDescent="0.3">
      <c r="A63" s="50" t="s">
        <v>44</v>
      </c>
      <c r="B63" s="30" t="s">
        <v>45</v>
      </c>
      <c r="C63" s="368"/>
      <c r="D63" s="369"/>
      <c r="E63" s="35"/>
      <c r="F63" s="186"/>
      <c r="G63" s="186"/>
      <c r="H63" s="186"/>
    </row>
    <row r="64" spans="1:8" s="13" customFormat="1" ht="28.5" customHeight="1" thickBot="1" x14ac:dyDescent="0.3">
      <c r="A64" s="50" t="s">
        <v>44</v>
      </c>
      <c r="B64" s="30" t="s">
        <v>63</v>
      </c>
      <c r="C64" s="368"/>
      <c r="D64" s="369"/>
      <c r="E64" s="35"/>
      <c r="F64" s="186"/>
      <c r="G64" s="186"/>
      <c r="H64" s="186"/>
    </row>
    <row r="65" spans="1:8" s="13" customFormat="1" ht="27" customHeight="1" thickBot="1" x14ac:dyDescent="0.3">
      <c r="A65" s="50" t="s">
        <v>44</v>
      </c>
      <c r="B65" s="30" t="s">
        <v>64</v>
      </c>
      <c r="C65" s="368"/>
      <c r="D65" s="369"/>
      <c r="E65" s="35"/>
      <c r="F65" s="186"/>
      <c r="G65" s="186"/>
      <c r="H65" s="186"/>
    </row>
    <row r="66" spans="1:8" s="13" customFormat="1" ht="27" customHeight="1" thickBot="1" x14ac:dyDescent="0.3">
      <c r="A66" s="50" t="s">
        <v>50</v>
      </c>
      <c r="B66" s="30" t="s">
        <v>216</v>
      </c>
      <c r="C66" s="368"/>
      <c r="D66" s="369"/>
      <c r="E66" s="35"/>
      <c r="F66" s="186"/>
      <c r="G66" s="186"/>
      <c r="H66" s="186"/>
    </row>
    <row r="67" spans="1:8" s="13" customFormat="1" ht="15.6" customHeight="1" thickBot="1" x14ac:dyDescent="0.3">
      <c r="A67" s="50" t="s">
        <v>27</v>
      </c>
      <c r="B67" s="30" t="s">
        <v>215</v>
      </c>
      <c r="C67" s="380" t="s">
        <v>77</v>
      </c>
      <c r="D67" s="381"/>
      <c r="E67" s="34"/>
      <c r="F67" s="184" t="s">
        <v>432</v>
      </c>
      <c r="G67" s="184" t="s">
        <v>432</v>
      </c>
      <c r="H67" s="184" t="s">
        <v>432</v>
      </c>
    </row>
    <row r="68" spans="1:8" s="13" customFormat="1" ht="53.45" customHeight="1" thickBot="1" x14ac:dyDescent="0.3">
      <c r="A68" s="50" t="s">
        <v>214</v>
      </c>
      <c r="B68" s="30" t="s">
        <v>213</v>
      </c>
      <c r="C68" s="380"/>
      <c r="D68" s="381"/>
      <c r="E68" s="34"/>
      <c r="F68" s="184"/>
      <c r="G68" s="186"/>
      <c r="H68" s="186"/>
    </row>
    <row r="69" spans="1:8" s="13" customFormat="1" ht="15" customHeight="1" x14ac:dyDescent="0.25">
      <c r="A69" s="354" t="s">
        <v>28</v>
      </c>
      <c r="B69" s="356" t="s">
        <v>265</v>
      </c>
      <c r="C69" s="425" t="s">
        <v>250</v>
      </c>
      <c r="D69" s="359"/>
      <c r="E69" s="34"/>
      <c r="F69" s="183" t="s">
        <v>455</v>
      </c>
      <c r="G69" s="183" t="s">
        <v>455</v>
      </c>
      <c r="H69" s="183" t="s">
        <v>455</v>
      </c>
    </row>
    <row r="70" spans="1:8" s="13" customFormat="1" ht="26.25" thickBot="1" x14ac:dyDescent="0.3">
      <c r="A70" s="355"/>
      <c r="B70" s="357"/>
      <c r="C70" s="426" t="s">
        <v>249</v>
      </c>
      <c r="D70" s="353"/>
      <c r="E70" s="34"/>
      <c r="F70" s="174" t="s">
        <v>434</v>
      </c>
      <c r="G70" s="174" t="s">
        <v>434</v>
      </c>
      <c r="H70" s="174" t="s">
        <v>434</v>
      </c>
    </row>
    <row r="71" spans="1:8" s="13" customFormat="1" ht="40.5" customHeight="1" thickBot="1" x14ac:dyDescent="0.3">
      <c r="A71" s="50" t="s">
        <v>51</v>
      </c>
      <c r="B71" s="30" t="s">
        <v>212</v>
      </c>
      <c r="C71" s="368"/>
      <c r="D71" s="369"/>
      <c r="E71" s="35"/>
      <c r="F71" s="184"/>
      <c r="G71" s="184"/>
      <c r="H71" s="184"/>
    </row>
    <row r="72" spans="1:8" s="13" customFormat="1" ht="41.1" customHeight="1" thickBot="1" x14ac:dyDescent="0.3">
      <c r="A72" s="50" t="s">
        <v>54</v>
      </c>
      <c r="B72" s="30" t="s">
        <v>80</v>
      </c>
      <c r="C72" s="368"/>
      <c r="D72" s="369"/>
      <c r="E72" s="35"/>
      <c r="F72" s="184"/>
      <c r="G72" s="184"/>
      <c r="H72" s="184"/>
    </row>
    <row r="73" spans="1:8" s="13" customFormat="1" ht="80.099999999999994" customHeight="1" thickBot="1" x14ac:dyDescent="0.3">
      <c r="A73" s="50" t="s">
        <v>29</v>
      </c>
      <c r="B73" s="30" t="s">
        <v>211</v>
      </c>
      <c r="C73" s="368"/>
      <c r="D73" s="369"/>
      <c r="E73" s="35"/>
      <c r="F73" s="184"/>
      <c r="G73" s="184"/>
      <c r="H73" s="184"/>
    </row>
    <row r="74" spans="1:8" s="13" customFormat="1" ht="53.1" customHeight="1" thickBot="1" x14ac:dyDescent="0.3">
      <c r="A74" s="50" t="s">
        <v>31</v>
      </c>
      <c r="B74" s="30" t="s">
        <v>210</v>
      </c>
      <c r="C74" s="380" t="s">
        <v>30</v>
      </c>
      <c r="D74" s="381"/>
      <c r="E74" s="34"/>
      <c r="F74" s="184" t="s">
        <v>435</v>
      </c>
      <c r="G74" s="184" t="s">
        <v>435</v>
      </c>
      <c r="H74" s="184" t="s">
        <v>435</v>
      </c>
    </row>
    <row r="75" spans="1:8" s="13" customFormat="1" ht="27.95" customHeight="1" thickBot="1" x14ac:dyDescent="0.3">
      <c r="A75" s="50" t="s">
        <v>55</v>
      </c>
      <c r="B75" s="30" t="s">
        <v>95</v>
      </c>
      <c r="C75" s="368"/>
      <c r="D75" s="369"/>
      <c r="E75" s="35"/>
      <c r="F75" s="184"/>
      <c r="G75" s="184"/>
      <c r="H75" s="184"/>
    </row>
    <row r="76" spans="1:8" s="13" customFormat="1" ht="30" customHeight="1" thickBot="1" x14ac:dyDescent="0.3">
      <c r="A76" s="50" t="s">
        <v>32</v>
      </c>
      <c r="B76" s="30" t="s">
        <v>96</v>
      </c>
      <c r="C76" s="380" t="s">
        <v>30</v>
      </c>
      <c r="D76" s="381"/>
      <c r="E76" s="34"/>
      <c r="F76" s="184" t="s">
        <v>436</v>
      </c>
      <c r="G76" s="184" t="s">
        <v>436</v>
      </c>
      <c r="H76" s="184" t="s">
        <v>436</v>
      </c>
    </row>
    <row r="77" spans="1:8" s="13" customFormat="1" ht="39.6" customHeight="1" thickBot="1" x14ac:dyDescent="0.3">
      <c r="A77" s="50" t="s">
        <v>56</v>
      </c>
      <c r="B77" s="30" t="s">
        <v>167</v>
      </c>
      <c r="C77" s="368"/>
      <c r="D77" s="369"/>
      <c r="E77" s="35"/>
      <c r="F77" s="184"/>
      <c r="G77" s="184"/>
      <c r="H77" s="184"/>
    </row>
    <row r="78" spans="1:8" s="13" customFormat="1" ht="29.45" customHeight="1" thickBot="1" x14ac:dyDescent="0.3">
      <c r="A78" s="50" t="s">
        <v>48</v>
      </c>
      <c r="B78" s="30" t="s">
        <v>47</v>
      </c>
      <c r="C78" s="368"/>
      <c r="D78" s="369"/>
      <c r="E78" s="35"/>
      <c r="F78" s="184"/>
      <c r="G78" s="184"/>
      <c r="H78" s="184"/>
    </row>
    <row r="79" spans="1:8" s="13" customFormat="1" ht="30" customHeight="1" thickBot="1" x14ac:dyDescent="0.3">
      <c r="A79" s="50" t="s">
        <v>49</v>
      </c>
      <c r="B79" s="30" t="s">
        <v>103</v>
      </c>
      <c r="C79" s="368"/>
      <c r="D79" s="369"/>
      <c r="E79" s="35"/>
      <c r="F79" s="184"/>
      <c r="G79" s="184"/>
      <c r="H79" s="184"/>
    </row>
    <row r="80" spans="1:8" s="13" customFormat="1" ht="27" customHeight="1" thickBot="1" x14ac:dyDescent="0.3">
      <c r="A80" s="50" t="s">
        <v>46</v>
      </c>
      <c r="B80" s="30" t="s">
        <v>81</v>
      </c>
      <c r="C80" s="368"/>
      <c r="D80" s="369"/>
      <c r="E80" s="35"/>
      <c r="F80" s="184"/>
      <c r="G80" s="184"/>
      <c r="H80" s="184"/>
    </row>
    <row r="81" spans="1:8" ht="13.5" thickBot="1" x14ac:dyDescent="0.25">
      <c r="G81" s="212"/>
      <c r="H81" s="212"/>
    </row>
    <row r="82" spans="1:8" s="17" customFormat="1" ht="18.75" thickBot="1" x14ac:dyDescent="0.3">
      <c r="A82" s="373" t="s">
        <v>168</v>
      </c>
      <c r="B82" s="374"/>
      <c r="C82" s="374"/>
      <c r="D82" s="375"/>
      <c r="E82" s="38"/>
      <c r="F82" s="417" t="s">
        <v>420</v>
      </c>
      <c r="G82" s="418"/>
      <c r="H82" s="419"/>
    </row>
    <row r="83" spans="1:8" s="3" customFormat="1" ht="15" customHeight="1" thickBot="1" x14ac:dyDescent="0.3">
      <c r="A83" s="382" t="s">
        <v>169</v>
      </c>
      <c r="B83" s="383"/>
      <c r="C83" s="383"/>
      <c r="D83" s="384"/>
      <c r="E83" s="39"/>
      <c r="F83" s="216" t="s">
        <v>19</v>
      </c>
      <c r="G83" s="217" t="s">
        <v>248</v>
      </c>
      <c r="H83" s="218" t="s">
        <v>269</v>
      </c>
    </row>
    <row r="84" spans="1:8" s="13" customFormat="1" x14ac:dyDescent="0.25">
      <c r="A84" s="385" t="s">
        <v>83</v>
      </c>
      <c r="B84" s="386"/>
      <c r="C84" s="386"/>
      <c r="D84" s="387"/>
      <c r="E84" s="35"/>
      <c r="F84" s="189">
        <f>-1337.32*('PPI Adj'!D6)</f>
        <v>-1560.6524400000001</v>
      </c>
      <c r="G84" s="189">
        <f>-1337.32*('PPI Adj'!D6)</f>
        <v>-1560.6524400000001</v>
      </c>
      <c r="H84" s="189">
        <f>-1337.32*('PPI Adj'!D6)</f>
        <v>-1560.6524400000001</v>
      </c>
    </row>
    <row r="85" spans="1:8" s="13" customFormat="1" x14ac:dyDescent="0.25">
      <c r="A85" s="388" t="s">
        <v>34</v>
      </c>
      <c r="B85" s="389"/>
      <c r="C85" s="389"/>
      <c r="D85" s="390"/>
      <c r="E85" s="34"/>
      <c r="F85" s="190">
        <f>544.44*('PPI Adj'!D6)</f>
        <v>635.36148000000003</v>
      </c>
      <c r="G85" s="190">
        <f>544.44*('PPI Adj'!D6)</f>
        <v>635.36148000000003</v>
      </c>
      <c r="H85" s="190">
        <f>544.44*('PPI Adj'!D6)</f>
        <v>635.36148000000003</v>
      </c>
    </row>
    <row r="86" spans="1:8" s="13" customFormat="1" x14ac:dyDescent="0.25">
      <c r="A86" s="388" t="s">
        <v>35</v>
      </c>
      <c r="B86" s="389"/>
      <c r="C86" s="389"/>
      <c r="D86" s="390"/>
      <c r="E86" s="35"/>
      <c r="F86" s="190">
        <f>625.4*('PPI Adj'!D6)</f>
        <v>729.84180000000003</v>
      </c>
      <c r="G86" s="190">
        <f>625.4*('PPI Adj'!D6)</f>
        <v>729.84180000000003</v>
      </c>
      <c r="H86" s="190">
        <f>625.4*('PPI Adj'!D6)</f>
        <v>729.84180000000003</v>
      </c>
    </row>
    <row r="87" spans="1:8" s="13" customFormat="1" x14ac:dyDescent="0.25">
      <c r="A87" s="388" t="s">
        <v>36</v>
      </c>
      <c r="B87" s="389"/>
      <c r="C87" s="389"/>
      <c r="D87" s="390"/>
      <c r="E87" s="34"/>
      <c r="F87" s="190">
        <f>1340.82*('PPI Adj'!D6)</f>
        <v>1564.73694</v>
      </c>
      <c r="G87" s="190">
        <f>1340.82*('PPI Adj'!D6)</f>
        <v>1564.73694</v>
      </c>
      <c r="H87" s="190">
        <f>1340.82*('PPI Adj'!D6)</f>
        <v>1564.73694</v>
      </c>
    </row>
    <row r="88" spans="1:8" s="13" customFormat="1" x14ac:dyDescent="0.25">
      <c r="A88" s="388" t="s">
        <v>60</v>
      </c>
      <c r="B88" s="389"/>
      <c r="C88" s="389"/>
      <c r="D88" s="390"/>
      <c r="E88" s="34"/>
      <c r="F88" s="190">
        <f>655.98*('PPI Adj'!D6)</f>
        <v>765.52866000000006</v>
      </c>
      <c r="G88" s="190">
        <f>655.98*('PPI Adj'!D6)</f>
        <v>765.52866000000006</v>
      </c>
      <c r="H88" s="190">
        <f>655.98*('PPI Adj'!D6)</f>
        <v>765.52866000000006</v>
      </c>
    </row>
    <row r="89" spans="1:8" s="13" customFormat="1" x14ac:dyDescent="0.25">
      <c r="A89" s="388" t="s">
        <v>61</v>
      </c>
      <c r="B89" s="389"/>
      <c r="C89" s="389"/>
      <c r="D89" s="390"/>
      <c r="E89" s="34"/>
      <c r="F89" s="190" t="s">
        <v>183</v>
      </c>
      <c r="G89" s="190" t="s">
        <v>183</v>
      </c>
      <c r="H89" s="190" t="s">
        <v>183</v>
      </c>
    </row>
    <row r="90" spans="1:8" s="13" customFormat="1" x14ac:dyDescent="0.25">
      <c r="A90" s="388" t="s">
        <v>86</v>
      </c>
      <c r="B90" s="389"/>
      <c r="C90" s="389"/>
      <c r="D90" s="390"/>
      <c r="E90" s="34"/>
      <c r="F90" s="190">
        <f>1202.76*('PPI Adj'!D6)</f>
        <v>1403.6209200000001</v>
      </c>
      <c r="G90" s="190">
        <f>1202.76*('PPI Adj'!D6)</f>
        <v>1403.6209200000001</v>
      </c>
      <c r="H90" s="190">
        <f>1202.76*('PPI Adj'!D6)</f>
        <v>1403.6209200000001</v>
      </c>
    </row>
    <row r="91" spans="1:8" x14ac:dyDescent="0.2">
      <c r="A91" s="388" t="s">
        <v>85</v>
      </c>
      <c r="B91" s="389"/>
      <c r="C91" s="389"/>
      <c r="D91" s="390"/>
      <c r="E91" s="34"/>
      <c r="F91" s="190">
        <f>4623.65*('PPI Adj'!D6)</f>
        <v>5395.7995499999997</v>
      </c>
      <c r="G91" s="190">
        <f>4623.65*('PPI Adj'!D6)</f>
        <v>5395.7995499999997</v>
      </c>
      <c r="H91" s="190">
        <f>4623.65*('PPI Adj'!D6)</f>
        <v>5395.7995499999997</v>
      </c>
    </row>
    <row r="92" spans="1:8" x14ac:dyDescent="0.2">
      <c r="A92" s="388" t="s">
        <v>13</v>
      </c>
      <c r="B92" s="389"/>
      <c r="C92" s="389"/>
      <c r="D92" s="390"/>
      <c r="E92" s="34"/>
      <c r="F92" s="190">
        <f>6533.28*('PPI Adj'!D6)</f>
        <v>7624.3377600000003</v>
      </c>
      <c r="G92" s="190">
        <f>6533.28*('PPI Adj'!D6)</f>
        <v>7624.3377600000003</v>
      </c>
      <c r="H92" s="190">
        <f>6533.28*('PPI Adj'!D6)</f>
        <v>7624.3377600000003</v>
      </c>
    </row>
    <row r="93" spans="1:8" x14ac:dyDescent="0.2">
      <c r="A93" s="388" t="s">
        <v>37</v>
      </c>
      <c r="B93" s="389"/>
      <c r="C93" s="389"/>
      <c r="D93" s="390"/>
      <c r="E93" s="35"/>
      <c r="F93" s="190">
        <f>97.5*('PPI Adj'!D6)</f>
        <v>113.7825</v>
      </c>
      <c r="G93" s="190">
        <f>97.5*('PPI Adj'!D6)</f>
        <v>113.7825</v>
      </c>
      <c r="H93" s="190">
        <f>97.5*('PPI Adj'!D6)</f>
        <v>113.7825</v>
      </c>
    </row>
    <row r="94" spans="1:8" x14ac:dyDescent="0.2">
      <c r="A94" s="388" t="s">
        <v>38</v>
      </c>
      <c r="B94" s="389"/>
      <c r="C94" s="389"/>
      <c r="D94" s="390"/>
      <c r="E94" s="35"/>
      <c r="F94" s="190">
        <f>397.8*('PPI Adj'!D6)</f>
        <v>464.23260000000005</v>
      </c>
      <c r="G94" s="190">
        <f>397.8*('PPI Adj'!D6)</f>
        <v>464.23260000000005</v>
      </c>
      <c r="H94" s="190">
        <f>397.8*('PPI Adj'!D6)</f>
        <v>464.23260000000005</v>
      </c>
    </row>
    <row r="95" spans="1:8" x14ac:dyDescent="0.2">
      <c r="A95" s="388" t="s">
        <v>201</v>
      </c>
      <c r="B95" s="389"/>
      <c r="C95" s="389"/>
      <c r="D95" s="390"/>
      <c r="E95" s="35"/>
      <c r="F95" s="190" t="s">
        <v>183</v>
      </c>
      <c r="G95" s="190" t="s">
        <v>183</v>
      </c>
      <c r="H95" s="190" t="s">
        <v>183</v>
      </c>
    </row>
    <row r="96" spans="1:8" x14ac:dyDescent="0.2">
      <c r="A96" s="388" t="s">
        <v>39</v>
      </c>
      <c r="B96" s="389"/>
      <c r="C96" s="389"/>
      <c r="D96" s="390"/>
      <c r="E96" s="34"/>
      <c r="F96" s="190">
        <f>723.06*('PPI Adj'!D6)</f>
        <v>843.81101999999998</v>
      </c>
      <c r="G96" s="190">
        <f>723.06*('PPI Adj'!D6)</f>
        <v>843.81101999999998</v>
      </c>
      <c r="H96" s="190">
        <f>723.06*('PPI Adj'!D6)</f>
        <v>843.81101999999998</v>
      </c>
    </row>
    <row r="97" spans="1:8" x14ac:dyDescent="0.2">
      <c r="A97" s="388" t="s">
        <v>88</v>
      </c>
      <c r="B97" s="389"/>
      <c r="C97" s="389"/>
      <c r="D97" s="390"/>
      <c r="E97" s="34"/>
      <c r="F97" s="190">
        <f>3939.22*('PPI Adj'!D6)</f>
        <v>4597.0697399999999</v>
      </c>
      <c r="G97" s="190">
        <f>3939.22*('PPI Adj'!D6)</f>
        <v>4597.0697399999999</v>
      </c>
      <c r="H97" s="190">
        <f>3939.22*('PPI Adj'!D6)</f>
        <v>4597.0697399999999</v>
      </c>
    </row>
    <row r="98" spans="1:8" x14ac:dyDescent="0.2">
      <c r="A98" s="388" t="s">
        <v>40</v>
      </c>
      <c r="B98" s="389"/>
      <c r="C98" s="389"/>
      <c r="D98" s="390"/>
      <c r="E98" s="34"/>
      <c r="F98" s="190">
        <f>578.76*('PPI Adj'!D6)</f>
        <v>675.41291999999999</v>
      </c>
      <c r="G98" s="190">
        <f>578.76*('PPI Adj'!D6)</f>
        <v>675.41291999999999</v>
      </c>
      <c r="H98" s="190">
        <f>578.76*('PPI Adj'!D6)</f>
        <v>675.41291999999999</v>
      </c>
    </row>
    <row r="99" spans="1:8" x14ac:dyDescent="0.2">
      <c r="A99" s="388" t="s">
        <v>14</v>
      </c>
      <c r="B99" s="389"/>
      <c r="C99" s="389"/>
      <c r="D99" s="390"/>
      <c r="E99" s="34"/>
      <c r="F99" s="190">
        <f>7483.25*('PPI Adj'!D6)</f>
        <v>8732.9527500000004</v>
      </c>
      <c r="G99" s="190">
        <f>7483.25*('PPI Adj'!D6)</f>
        <v>8732.9527500000004</v>
      </c>
      <c r="H99" s="190">
        <f>7483.25*('PPI Adj'!D6)</f>
        <v>8732.9527500000004</v>
      </c>
    </row>
    <row r="100" spans="1:8" x14ac:dyDescent="0.2">
      <c r="A100" s="388" t="s">
        <v>91</v>
      </c>
      <c r="B100" s="389"/>
      <c r="C100" s="389"/>
      <c r="D100" s="390"/>
      <c r="E100" s="34"/>
      <c r="F100" s="190">
        <f>1800*('PPI Adj'!D6)</f>
        <v>2100.6</v>
      </c>
      <c r="G100" s="190">
        <f>1800*('PPI Adj'!D6)</f>
        <v>2100.6</v>
      </c>
      <c r="H100" s="190">
        <f>1800*('PPI Adj'!D6)</f>
        <v>2100.6</v>
      </c>
    </row>
    <row r="101" spans="1:8" x14ac:dyDescent="0.2">
      <c r="A101" s="394" t="s">
        <v>275</v>
      </c>
      <c r="B101" s="395"/>
      <c r="C101" s="395"/>
      <c r="D101" s="396"/>
      <c r="E101" s="34"/>
      <c r="F101" s="200">
        <f>-413.21*('PPI Adj'!D6)</f>
        <v>-482.21607</v>
      </c>
      <c r="G101" s="200">
        <f>-413.21*('PPI Adj'!D6)</f>
        <v>-482.21607</v>
      </c>
      <c r="H101" s="200">
        <f>-413.21*('PPI Adj'!D6)</f>
        <v>-482.21607</v>
      </c>
    </row>
    <row r="102" spans="1:8" ht="13.5" thickBot="1" x14ac:dyDescent="0.25">
      <c r="A102" s="391" t="s">
        <v>92</v>
      </c>
      <c r="B102" s="392"/>
      <c r="C102" s="392"/>
      <c r="D102" s="393"/>
      <c r="E102" s="35"/>
      <c r="F102" s="191">
        <f>1013.03*('PPI Adj'!D6)</f>
        <v>1182.2060100000001</v>
      </c>
      <c r="G102" s="191">
        <f>1013.03*('PPI Adj'!D6)</f>
        <v>1182.2060100000001</v>
      </c>
      <c r="H102" s="191">
        <f>1013.03*('PPI Adj'!D6)</f>
        <v>1182.2060100000001</v>
      </c>
    </row>
    <row r="103" spans="1:8" ht="13.5" thickBot="1" x14ac:dyDescent="0.25">
      <c r="G103" s="212"/>
      <c r="H103" s="212"/>
    </row>
    <row r="104" spans="1:8" s="17" customFormat="1" ht="18.75" thickBot="1" x14ac:dyDescent="0.3">
      <c r="A104" s="373" t="s">
        <v>166</v>
      </c>
      <c r="B104" s="374"/>
      <c r="C104" s="374"/>
      <c r="D104" s="375"/>
      <c r="E104" s="38"/>
      <c r="F104" s="196" t="s">
        <v>420</v>
      </c>
      <c r="G104" s="196" t="s">
        <v>420</v>
      </c>
      <c r="H104" s="196" t="s">
        <v>420</v>
      </c>
    </row>
    <row r="105" spans="1:8" s="3" customFormat="1" ht="15" customHeight="1" thickBot="1" x14ac:dyDescent="0.3">
      <c r="A105" s="52" t="s">
        <v>33</v>
      </c>
      <c r="B105" s="24" t="s">
        <v>7</v>
      </c>
      <c r="C105" s="397" t="s">
        <v>165</v>
      </c>
      <c r="D105" s="398"/>
      <c r="E105" s="39"/>
      <c r="F105" s="188" t="s">
        <v>19</v>
      </c>
      <c r="G105" s="188" t="s">
        <v>248</v>
      </c>
      <c r="H105" s="188" t="s">
        <v>269</v>
      </c>
    </row>
    <row r="106" spans="1:8" s="13" customFormat="1" ht="41.1" customHeight="1" thickBot="1" x14ac:dyDescent="0.3">
      <c r="A106" s="53" t="s">
        <v>83</v>
      </c>
      <c r="B106" s="23" t="s">
        <v>146</v>
      </c>
      <c r="C106" s="399"/>
      <c r="D106" s="400"/>
      <c r="E106" s="35"/>
      <c r="F106" s="184" t="s">
        <v>438</v>
      </c>
      <c r="G106" s="184" t="s">
        <v>438</v>
      </c>
      <c r="H106" s="184" t="s">
        <v>438</v>
      </c>
    </row>
    <row r="107" spans="1:8" s="13" customFormat="1" ht="26.25" thickBot="1" x14ac:dyDescent="0.3">
      <c r="A107" s="50" t="s">
        <v>34</v>
      </c>
      <c r="B107" s="30" t="s">
        <v>107</v>
      </c>
      <c r="C107" s="380" t="s">
        <v>30</v>
      </c>
      <c r="D107" s="381"/>
      <c r="E107" s="34"/>
      <c r="F107" s="184" t="s">
        <v>439</v>
      </c>
      <c r="G107" s="184" t="s">
        <v>439</v>
      </c>
      <c r="H107" s="184" t="s">
        <v>439</v>
      </c>
    </row>
    <row r="108" spans="1:8" s="13" customFormat="1" ht="51.95" customHeight="1" thickBot="1" x14ac:dyDescent="0.3">
      <c r="A108" s="50" t="s">
        <v>35</v>
      </c>
      <c r="B108" s="30" t="s">
        <v>97</v>
      </c>
      <c r="C108" s="368"/>
      <c r="D108" s="369"/>
      <c r="E108" s="35"/>
      <c r="F108" s="184"/>
      <c r="G108" s="184"/>
      <c r="H108" s="184"/>
    </row>
    <row r="109" spans="1:8" s="13" customFormat="1" ht="26.25" thickBot="1" x14ac:dyDescent="0.3">
      <c r="A109" s="50" t="s">
        <v>36</v>
      </c>
      <c r="B109" s="30" t="s">
        <v>84</v>
      </c>
      <c r="C109" s="380" t="s">
        <v>99</v>
      </c>
      <c r="D109" s="381"/>
      <c r="E109" s="34"/>
      <c r="F109" s="184" t="s">
        <v>441</v>
      </c>
      <c r="G109" s="184" t="s">
        <v>441</v>
      </c>
      <c r="H109" s="184" t="s">
        <v>441</v>
      </c>
    </row>
    <row r="110" spans="1:8" s="13" customFormat="1" ht="12.75" customHeight="1" x14ac:dyDescent="0.25">
      <c r="A110" s="354" t="s">
        <v>60</v>
      </c>
      <c r="B110" s="356" t="s">
        <v>133</v>
      </c>
      <c r="C110" s="358" t="s">
        <v>203</v>
      </c>
      <c r="D110" s="359"/>
      <c r="E110" s="34"/>
      <c r="F110" s="183" t="s">
        <v>278</v>
      </c>
      <c r="G110" s="183" t="s">
        <v>278</v>
      </c>
      <c r="H110" s="183" t="s">
        <v>278</v>
      </c>
    </row>
    <row r="111" spans="1:8" s="13" customFormat="1" x14ac:dyDescent="0.25">
      <c r="A111" s="362"/>
      <c r="B111" s="363"/>
      <c r="C111" s="364" t="s">
        <v>202</v>
      </c>
      <c r="D111" s="365"/>
      <c r="E111" s="34"/>
      <c r="F111" s="169">
        <v>6005</v>
      </c>
      <c r="G111" s="169">
        <v>6005</v>
      </c>
      <c r="H111" s="169">
        <v>6005</v>
      </c>
    </row>
    <row r="112" spans="1:8" s="13" customFormat="1" x14ac:dyDescent="0.25">
      <c r="A112" s="362"/>
      <c r="B112" s="363"/>
      <c r="C112" s="364" t="s">
        <v>114</v>
      </c>
      <c r="D112" s="365"/>
      <c r="E112" s="34"/>
      <c r="F112" s="169" t="s">
        <v>442</v>
      </c>
      <c r="G112" s="169" t="s">
        <v>442</v>
      </c>
      <c r="H112" s="169" t="s">
        <v>442</v>
      </c>
    </row>
    <row r="113" spans="1:8" s="13" customFormat="1" ht="30.75" customHeight="1" thickBot="1" x14ac:dyDescent="0.3">
      <c r="A113" s="355"/>
      <c r="B113" s="357"/>
      <c r="C113" s="352" t="s">
        <v>115</v>
      </c>
      <c r="D113" s="353"/>
      <c r="E113" s="34"/>
      <c r="F113" s="174" t="s">
        <v>443</v>
      </c>
      <c r="G113" s="174" t="s">
        <v>443</v>
      </c>
      <c r="H113" s="174" t="s">
        <v>443</v>
      </c>
    </row>
    <row r="114" spans="1:8" s="13" customFormat="1" ht="12.75" customHeight="1" x14ac:dyDescent="0.25">
      <c r="A114" s="354" t="s">
        <v>61</v>
      </c>
      <c r="B114" s="356" t="s">
        <v>206</v>
      </c>
      <c r="C114" s="358" t="s">
        <v>205</v>
      </c>
      <c r="D114" s="359"/>
      <c r="E114" s="34"/>
      <c r="F114" s="183"/>
      <c r="G114" s="183"/>
      <c r="H114" s="183"/>
    </row>
    <row r="115" spans="1:8" s="13" customFormat="1" x14ac:dyDescent="0.25">
      <c r="A115" s="362"/>
      <c r="B115" s="363"/>
      <c r="C115" s="364" t="s">
        <v>204</v>
      </c>
      <c r="D115" s="365"/>
      <c r="E115" s="34"/>
      <c r="F115" s="185"/>
      <c r="G115" s="185"/>
      <c r="H115" s="185"/>
    </row>
    <row r="116" spans="1:8" s="13" customFormat="1" x14ac:dyDescent="0.25">
      <c r="A116" s="362"/>
      <c r="B116" s="363"/>
      <c r="C116" s="364" t="s">
        <v>203</v>
      </c>
      <c r="D116" s="365"/>
      <c r="E116" s="34"/>
      <c r="F116" s="185"/>
      <c r="G116" s="185"/>
      <c r="H116" s="185"/>
    </row>
    <row r="117" spans="1:8" s="13" customFormat="1" x14ac:dyDescent="0.25">
      <c r="A117" s="362"/>
      <c r="B117" s="363"/>
      <c r="C117" s="364" t="s">
        <v>202</v>
      </c>
      <c r="D117" s="365"/>
      <c r="E117" s="34"/>
      <c r="F117" s="169"/>
      <c r="G117" s="169"/>
      <c r="H117" s="169"/>
    </row>
    <row r="118" spans="1:8" s="13" customFormat="1" x14ac:dyDescent="0.25">
      <c r="A118" s="362"/>
      <c r="B118" s="363"/>
      <c r="C118" s="364" t="s">
        <v>112</v>
      </c>
      <c r="D118" s="365"/>
      <c r="E118" s="34"/>
      <c r="F118" s="169"/>
      <c r="G118" s="169"/>
      <c r="H118" s="169"/>
    </row>
    <row r="119" spans="1:8" s="13" customFormat="1" x14ac:dyDescent="0.25">
      <c r="A119" s="362"/>
      <c r="B119" s="363"/>
      <c r="C119" s="364" t="s">
        <v>113</v>
      </c>
      <c r="D119" s="365"/>
      <c r="E119" s="34"/>
      <c r="F119" s="185"/>
      <c r="G119" s="185"/>
      <c r="H119" s="185"/>
    </row>
    <row r="120" spans="1:8" s="13" customFormat="1" x14ac:dyDescent="0.25">
      <c r="A120" s="362"/>
      <c r="B120" s="363"/>
      <c r="C120" s="364" t="s">
        <v>114</v>
      </c>
      <c r="D120" s="365"/>
      <c r="E120" s="34"/>
      <c r="F120" s="185"/>
      <c r="G120" s="185"/>
      <c r="H120" s="185"/>
    </row>
    <row r="121" spans="1:8" s="13" customFormat="1" ht="13.5" thickBot="1" x14ac:dyDescent="0.3">
      <c r="A121" s="355"/>
      <c r="B121" s="357"/>
      <c r="C121" s="352" t="s">
        <v>115</v>
      </c>
      <c r="D121" s="353"/>
      <c r="E121" s="34"/>
      <c r="F121" s="174"/>
      <c r="G121" s="174"/>
      <c r="H121" s="174"/>
    </row>
    <row r="122" spans="1:8" s="13" customFormat="1" ht="143.44999999999999" customHeight="1" thickBot="1" x14ac:dyDescent="0.3">
      <c r="A122" s="54" t="s">
        <v>86</v>
      </c>
      <c r="B122" s="18" t="s">
        <v>143</v>
      </c>
      <c r="C122" s="380" t="s">
        <v>104</v>
      </c>
      <c r="D122" s="381"/>
      <c r="E122" s="34"/>
      <c r="F122" s="183" t="s">
        <v>444</v>
      </c>
      <c r="G122" s="183" t="s">
        <v>444</v>
      </c>
      <c r="H122" s="183" t="s">
        <v>444</v>
      </c>
    </row>
    <row r="123" spans="1:8" ht="167.1" customHeight="1" thickBot="1" x14ac:dyDescent="0.25">
      <c r="A123" s="50" t="s">
        <v>85</v>
      </c>
      <c r="B123" s="14" t="s">
        <v>170</v>
      </c>
      <c r="C123" s="380" t="s">
        <v>104</v>
      </c>
      <c r="D123" s="381"/>
      <c r="E123" s="34"/>
      <c r="F123" s="184" t="s">
        <v>462</v>
      </c>
      <c r="G123" s="184" t="s">
        <v>462</v>
      </c>
      <c r="H123" s="184" t="s">
        <v>462</v>
      </c>
    </row>
    <row r="124" spans="1:8" x14ac:dyDescent="0.2">
      <c r="A124" s="354" t="s">
        <v>13</v>
      </c>
      <c r="B124" s="356" t="s">
        <v>98</v>
      </c>
      <c r="C124" s="358" t="s">
        <v>30</v>
      </c>
      <c r="D124" s="359"/>
      <c r="E124" s="34"/>
      <c r="F124" s="183" t="s">
        <v>446</v>
      </c>
      <c r="G124" s="183" t="s">
        <v>446</v>
      </c>
      <c r="H124" s="183" t="s">
        <v>446</v>
      </c>
    </row>
    <row r="125" spans="1:8" ht="29.45" customHeight="1" thickBot="1" x14ac:dyDescent="0.25">
      <c r="A125" s="355"/>
      <c r="B125" s="357"/>
      <c r="C125" s="352" t="s">
        <v>109</v>
      </c>
      <c r="D125" s="353"/>
      <c r="E125" s="34"/>
      <c r="F125" s="174">
        <v>1000</v>
      </c>
      <c r="G125" s="174">
        <v>1000</v>
      </c>
      <c r="H125" s="174">
        <v>1000</v>
      </c>
    </row>
    <row r="126" spans="1:8" ht="65.45" customHeight="1" thickBot="1" x14ac:dyDescent="0.25">
      <c r="A126" s="50" t="s">
        <v>37</v>
      </c>
      <c r="B126" s="30" t="s">
        <v>135</v>
      </c>
      <c r="C126" s="368"/>
      <c r="D126" s="369"/>
      <c r="E126" s="35"/>
      <c r="F126" s="184" t="s">
        <v>447</v>
      </c>
      <c r="G126" s="184" t="s">
        <v>447</v>
      </c>
      <c r="H126" s="184" t="s">
        <v>447</v>
      </c>
    </row>
    <row r="127" spans="1:8" ht="41.1" customHeight="1" thickBot="1" x14ac:dyDescent="0.25">
      <c r="A127" s="50" t="s">
        <v>38</v>
      </c>
      <c r="B127" s="30" t="s">
        <v>87</v>
      </c>
      <c r="C127" s="368"/>
      <c r="D127" s="369"/>
      <c r="E127" s="35"/>
      <c r="F127" s="184"/>
      <c r="G127" s="184"/>
      <c r="H127" s="184"/>
    </row>
    <row r="128" spans="1:8" ht="15.95" customHeight="1" thickBot="1" x14ac:dyDescent="0.25">
      <c r="A128" s="50" t="s">
        <v>201</v>
      </c>
      <c r="B128" s="30" t="s">
        <v>200</v>
      </c>
      <c r="C128" s="380"/>
      <c r="D128" s="381"/>
      <c r="E128" s="34"/>
      <c r="F128" s="184"/>
      <c r="G128" s="184"/>
      <c r="H128" s="184"/>
    </row>
    <row r="129" spans="1:8" ht="27" customHeight="1" thickBot="1" x14ac:dyDescent="0.25">
      <c r="A129" s="50" t="s">
        <v>39</v>
      </c>
      <c r="B129" s="30" t="s">
        <v>106</v>
      </c>
      <c r="C129" s="380" t="s">
        <v>105</v>
      </c>
      <c r="D129" s="381"/>
      <c r="E129" s="34"/>
      <c r="F129" s="184" t="s">
        <v>184</v>
      </c>
      <c r="G129" s="184" t="s">
        <v>184</v>
      </c>
      <c r="H129" s="184" t="s">
        <v>184</v>
      </c>
    </row>
    <row r="130" spans="1:8" x14ac:dyDescent="0.2">
      <c r="A130" s="354" t="s">
        <v>88</v>
      </c>
      <c r="B130" s="356" t="s">
        <v>148</v>
      </c>
      <c r="C130" s="358" t="s">
        <v>100</v>
      </c>
      <c r="D130" s="359"/>
      <c r="E130" s="34"/>
      <c r="F130" s="183" t="s">
        <v>448</v>
      </c>
      <c r="G130" s="183" t="s">
        <v>448</v>
      </c>
      <c r="H130" s="183" t="s">
        <v>448</v>
      </c>
    </row>
    <row r="131" spans="1:8" ht="108" customHeight="1" thickBot="1" x14ac:dyDescent="0.25">
      <c r="A131" s="355"/>
      <c r="B131" s="357"/>
      <c r="C131" s="352" t="s">
        <v>110</v>
      </c>
      <c r="D131" s="353"/>
      <c r="E131" s="34"/>
      <c r="F131" s="201" t="s">
        <v>449</v>
      </c>
      <c r="G131" s="201" t="s">
        <v>449</v>
      </c>
      <c r="H131" s="201" t="s">
        <v>449</v>
      </c>
    </row>
    <row r="132" spans="1:8" ht="28.5" customHeight="1" thickBot="1" x14ac:dyDescent="0.25">
      <c r="A132" s="50" t="s">
        <v>40</v>
      </c>
      <c r="B132" s="30" t="s">
        <v>137</v>
      </c>
      <c r="C132" s="380" t="s">
        <v>100</v>
      </c>
      <c r="D132" s="381"/>
      <c r="E132" s="34"/>
      <c r="F132" s="174" t="s">
        <v>457</v>
      </c>
      <c r="G132" s="174" t="s">
        <v>457</v>
      </c>
      <c r="H132" s="174" t="s">
        <v>457</v>
      </c>
    </row>
    <row r="133" spans="1:8" ht="51.95" customHeight="1" thickBot="1" x14ac:dyDescent="0.25">
      <c r="A133" s="50" t="s">
        <v>14</v>
      </c>
      <c r="B133" s="30" t="s">
        <v>138</v>
      </c>
      <c r="C133" s="380" t="s">
        <v>139</v>
      </c>
      <c r="D133" s="381"/>
      <c r="E133" s="34"/>
      <c r="F133" s="184">
        <v>2</v>
      </c>
      <c r="G133" s="184">
        <v>2</v>
      </c>
      <c r="H133" s="184">
        <v>2</v>
      </c>
    </row>
    <row r="134" spans="1:8" ht="67.5" customHeight="1" thickBot="1" x14ac:dyDescent="0.25">
      <c r="A134" s="50" t="s">
        <v>91</v>
      </c>
      <c r="B134" s="30" t="s">
        <v>144</v>
      </c>
      <c r="C134" s="380" t="s">
        <v>100</v>
      </c>
      <c r="D134" s="381"/>
      <c r="E134" s="34"/>
      <c r="F134" s="184" t="s">
        <v>359</v>
      </c>
      <c r="G134" s="184" t="s">
        <v>359</v>
      </c>
      <c r="H134" s="184" t="s">
        <v>359</v>
      </c>
    </row>
    <row r="135" spans="1:8" ht="68.45" customHeight="1" thickBot="1" x14ac:dyDescent="0.25">
      <c r="A135" s="50" t="s">
        <v>92</v>
      </c>
      <c r="B135" s="30" t="s">
        <v>145</v>
      </c>
      <c r="C135" s="368"/>
      <c r="D135" s="369"/>
      <c r="E135" s="35"/>
      <c r="F135" s="184"/>
      <c r="G135" s="184"/>
      <c r="H135" s="184"/>
    </row>
  </sheetData>
  <sheetProtection algorithmName="SHA-512" hashValue="uM0akZqp63RnXBIYu5kzuicBEjcjdnL1bFfElI63o9bZQc4hg2qJRyqcEt5s0anLQZ3o9TZqptsAqrAyM1Ylhw==" saltValue="rW5i+BQATlZkdFMDOZObCg==" spinCount="100000" sheet="1" objects="1" scenarios="1"/>
  <dataConsolidate/>
  <mergeCells count="158">
    <mergeCell ref="A130:A131"/>
    <mergeCell ref="B130:B131"/>
    <mergeCell ref="C130:D130"/>
    <mergeCell ref="C131:D131"/>
    <mergeCell ref="C121:D121"/>
    <mergeCell ref="C132:D132"/>
    <mergeCell ref="C133:D133"/>
    <mergeCell ref="C134:D134"/>
    <mergeCell ref="C135:D135"/>
    <mergeCell ref="C126:D126"/>
    <mergeCell ref="C127:D127"/>
    <mergeCell ref="C128:D128"/>
    <mergeCell ref="C129:D129"/>
    <mergeCell ref="C123:D123"/>
    <mergeCell ref="A124:A125"/>
    <mergeCell ref="B124:B125"/>
    <mergeCell ref="C124:D124"/>
    <mergeCell ref="C125:D125"/>
    <mergeCell ref="A114:A121"/>
    <mergeCell ref="B114:B121"/>
    <mergeCell ref="C114:D114"/>
    <mergeCell ref="C115:D115"/>
    <mergeCell ref="C116:D116"/>
    <mergeCell ref="A102:D102"/>
    <mergeCell ref="A104:D104"/>
    <mergeCell ref="C105:D105"/>
    <mergeCell ref="C106:D106"/>
    <mergeCell ref="C107:D107"/>
    <mergeCell ref="C122:D122"/>
    <mergeCell ref="C117:D117"/>
    <mergeCell ref="C118:D118"/>
    <mergeCell ref="C119:D119"/>
    <mergeCell ref="C120:D120"/>
    <mergeCell ref="C108:D108"/>
    <mergeCell ref="C109:D109"/>
    <mergeCell ref="A110:A113"/>
    <mergeCell ref="B110:B113"/>
    <mergeCell ref="C110:D110"/>
    <mergeCell ref="C111:D111"/>
    <mergeCell ref="C112:D112"/>
    <mergeCell ref="C113:D113"/>
    <mergeCell ref="A98:D98"/>
    <mergeCell ref="A99:D99"/>
    <mergeCell ref="A100:D100"/>
    <mergeCell ref="A84:D84"/>
    <mergeCell ref="A85:D85"/>
    <mergeCell ref="A86:D86"/>
    <mergeCell ref="A87:D87"/>
    <mergeCell ref="A88:D88"/>
    <mergeCell ref="C77:D77"/>
    <mergeCell ref="C78:D78"/>
    <mergeCell ref="C79:D79"/>
    <mergeCell ref="C80:D80"/>
    <mergeCell ref="A82:D82"/>
    <mergeCell ref="A89:D89"/>
    <mergeCell ref="A90:D90"/>
    <mergeCell ref="A91:D91"/>
    <mergeCell ref="A92:D92"/>
    <mergeCell ref="A93:D93"/>
    <mergeCell ref="A94:D94"/>
    <mergeCell ref="A95:D95"/>
    <mergeCell ref="A96:D96"/>
    <mergeCell ref="A97:D97"/>
    <mergeCell ref="C64:D64"/>
    <mergeCell ref="C65:D65"/>
    <mergeCell ref="C66:D66"/>
    <mergeCell ref="C67:D67"/>
    <mergeCell ref="C68:D68"/>
    <mergeCell ref="A83:D83"/>
    <mergeCell ref="C71:D71"/>
    <mergeCell ref="C72:D72"/>
    <mergeCell ref="C73:D73"/>
    <mergeCell ref="C74:D74"/>
    <mergeCell ref="C75:D75"/>
    <mergeCell ref="C76:D76"/>
    <mergeCell ref="A69:A70"/>
    <mergeCell ref="B69:B70"/>
    <mergeCell ref="C69:D69"/>
    <mergeCell ref="C70:D70"/>
    <mergeCell ref="A60:A62"/>
    <mergeCell ref="B60:B62"/>
    <mergeCell ref="C60:D60"/>
    <mergeCell ref="C61:D61"/>
    <mergeCell ref="C62:D62"/>
    <mergeCell ref="C63:D63"/>
    <mergeCell ref="C52:D52"/>
    <mergeCell ref="A53:A55"/>
    <mergeCell ref="B53:B55"/>
    <mergeCell ref="C53:D53"/>
    <mergeCell ref="C54:D54"/>
    <mergeCell ref="C55:D55"/>
    <mergeCell ref="C56:D56"/>
    <mergeCell ref="C57:D57"/>
    <mergeCell ref="A58:A59"/>
    <mergeCell ref="B58:B59"/>
    <mergeCell ref="C58:D58"/>
    <mergeCell ref="C59:D59"/>
    <mergeCell ref="C30:D30"/>
    <mergeCell ref="C31:D31"/>
    <mergeCell ref="C32:D32"/>
    <mergeCell ref="C44:D44"/>
    <mergeCell ref="A45:A52"/>
    <mergeCell ref="B45:B52"/>
    <mergeCell ref="C45:D45"/>
    <mergeCell ref="C46:D46"/>
    <mergeCell ref="C47:D47"/>
    <mergeCell ref="C48:D48"/>
    <mergeCell ref="C49:D49"/>
    <mergeCell ref="C50:D50"/>
    <mergeCell ref="C51:D51"/>
    <mergeCell ref="A101:D101"/>
    <mergeCell ref="B13:D13"/>
    <mergeCell ref="B14:D14"/>
    <mergeCell ref="B15:D15"/>
    <mergeCell ref="B16:D16"/>
    <mergeCell ref="B17:D17"/>
    <mergeCell ref="B9:D9"/>
    <mergeCell ref="B10:D10"/>
    <mergeCell ref="B11:D11"/>
    <mergeCell ref="B12:D12"/>
    <mergeCell ref="C35:D35"/>
    <mergeCell ref="A36:A37"/>
    <mergeCell ref="B36:B37"/>
    <mergeCell ref="C36:D36"/>
    <mergeCell ref="C37:D37"/>
    <mergeCell ref="A27:A28"/>
    <mergeCell ref="B27:B28"/>
    <mergeCell ref="B21:D21"/>
    <mergeCell ref="B22:D22"/>
    <mergeCell ref="A19:D19"/>
    <mergeCell ref="C33:D33"/>
    <mergeCell ref="C34:D34"/>
    <mergeCell ref="A38:A39"/>
    <mergeCell ref="B38:B39"/>
    <mergeCell ref="F6:H6"/>
    <mergeCell ref="F19:H19"/>
    <mergeCell ref="F24:H24"/>
    <mergeCell ref="F82:H82"/>
    <mergeCell ref="A3:D3"/>
    <mergeCell ref="A4:D4"/>
    <mergeCell ref="A6:D6"/>
    <mergeCell ref="B8:D8"/>
    <mergeCell ref="C38:D38"/>
    <mergeCell ref="C39:D39"/>
    <mergeCell ref="C40:D40"/>
    <mergeCell ref="B41:B43"/>
    <mergeCell ref="C41:D41"/>
    <mergeCell ref="C42:D42"/>
    <mergeCell ref="C43:D43"/>
    <mergeCell ref="A41:A43"/>
    <mergeCell ref="A24:D24"/>
    <mergeCell ref="C25:D25"/>
    <mergeCell ref="C26:D26"/>
    <mergeCell ref="C27:D27"/>
    <mergeCell ref="C28:D28"/>
    <mergeCell ref="C29:D29"/>
    <mergeCell ref="A30:A34"/>
    <mergeCell ref="B30:B34"/>
  </mergeCells>
  <conditionalFormatting sqref="C56 C65">
    <cfRule type="expression" dxfId="168" priority="221">
      <formula>#REF!="NO"</formula>
    </cfRule>
  </conditionalFormatting>
  <conditionalFormatting sqref="C41:D43">
    <cfRule type="expression" dxfId="167" priority="208">
      <formula>$F$2="NO"</formula>
    </cfRule>
  </conditionalFormatting>
  <conditionalFormatting sqref="C26:E40">
    <cfRule type="expression" dxfId="166" priority="210">
      <formula>#REF!="NO"</formula>
    </cfRule>
  </conditionalFormatting>
  <conditionalFormatting sqref="C44:E80">
    <cfRule type="expression" dxfId="165" priority="207">
      <formula>#REF!="NO"</formula>
    </cfRule>
  </conditionalFormatting>
  <conditionalFormatting sqref="C106:H135">
    <cfRule type="expression" dxfId="164" priority="1">
      <formula>#REF!="NO"</formula>
    </cfRule>
  </conditionalFormatting>
  <conditionalFormatting sqref="E41:E43">
    <cfRule type="expression" dxfId="163" priority="209">
      <formula>#REF!="NO"</formula>
    </cfRule>
  </conditionalFormatting>
  <conditionalFormatting sqref="E84:H102">
    <cfRule type="expression" dxfId="162" priority="11">
      <formula>#REF!="NO"</formula>
    </cfRule>
  </conditionalFormatting>
  <conditionalFormatting sqref="F8:F17">
    <cfRule type="expression" dxfId="161" priority="202">
      <formula>#REF!="NO"</formula>
    </cfRule>
  </conditionalFormatting>
  <conditionalFormatting sqref="F26:F80">
    <cfRule type="expression" dxfId="160" priority="186">
      <formula>#REF!="NO"</formula>
    </cfRule>
  </conditionalFormatting>
  <conditionalFormatting sqref="F21:H22">
    <cfRule type="expression" dxfId="159" priority="77">
      <formula>#REF!="NO"</formula>
    </cfRule>
  </conditionalFormatting>
  <conditionalFormatting sqref="G8:H17">
    <cfRule type="expression" dxfId="158" priority="82">
      <formula>$F$2="NO"</formula>
    </cfRule>
  </conditionalFormatting>
  <conditionalFormatting sqref="G21:H21">
    <cfRule type="expression" dxfId="157" priority="80">
      <formula>$F$2="NO"</formula>
    </cfRule>
  </conditionalFormatting>
  <conditionalFormatting sqref="G26:H80">
    <cfRule type="expression" dxfId="156" priority="15">
      <formula>$F$2="NO"</formula>
    </cfRule>
  </conditionalFormatting>
  <conditionalFormatting sqref="G56:H57">
    <cfRule type="expression" dxfId="155" priority="21">
      <formula>#REF!="NO"</formula>
    </cfRule>
  </conditionalFormatting>
  <conditionalFormatting sqref="G65:H65">
    <cfRule type="expression" dxfId="154" priority="26">
      <formula>#REF!="NO"</formula>
    </cfRule>
  </conditionalFormatting>
  <dataValidations count="3">
    <dataValidation type="decimal" allowBlank="1" showInputMessage="1" showErrorMessage="1" error="The Additional Options NYS Discount entered must be greater than 0%, or less than or equal to 100%." sqref="F22:H22" xr:uid="{00000000-0002-0000-0300-000002000000}">
      <formula1>0.01</formula1>
      <formula2>100</formula2>
    </dataValidation>
    <dataValidation type="decimal" allowBlank="1" showInputMessage="1" showErrorMessage="1" error="Invalid Entry - Bidder must enter a value that is greater than $0" sqref="F21:H21" xr:uid="{00000000-0002-0000-0300-000001000000}">
      <formula1>0</formula1>
      <formula2>9E+21</formula2>
    </dataValidation>
    <dataValidation type="decimal" operator="greaterThanOrEqual" allowBlank="1" showInputMessage="1" showErrorMessage="1" error="The Pickup Allowance cannot be a negative number." sqref="F16:H16" xr:uid="{00000000-0002-0000-0300-000000000000}">
      <formula1>0</formula1>
    </dataValidation>
  </dataValidations>
  <pageMargins left="0.25" right="0.25" top="0.5" bottom="0.25" header="0.3" footer="0.3"/>
  <pageSetup scale="72" fitToHeight="0" orientation="landscape" r:id="rId1"/>
  <rowBreaks count="2" manualBreakCount="2">
    <brk id="57" max="6" man="1"/>
    <brk id="123"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F2C7F-CAEB-4800-B1DA-FB56D8BFAC17}">
  <sheetPr>
    <tabColor theme="5"/>
    <pageSetUpPr autoPageBreaks="0" fitToPage="1"/>
  </sheetPr>
  <dimension ref="A1:H127"/>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87" customWidth="1"/>
    <col min="7" max="8" width="21.28515625" style="2" customWidth="1"/>
    <col min="9" max="16384" width="9.140625" style="2"/>
  </cols>
  <sheetData>
    <row r="1" spans="1:6" ht="18" customHeight="1" x14ac:dyDescent="0.2">
      <c r="A1" s="165" t="str">
        <f>'A (Item 2-G)'!$A$1</f>
        <v>GROUP 40524-23254, SCHOOL BUSES (Statewide)                                                             Attachment 1 - Specifications and Pricing (Revised October 15, 2026)</v>
      </c>
      <c r="F1" s="210"/>
    </row>
    <row r="2" spans="1:6" s="25" customFormat="1" ht="18" customHeight="1" thickBot="1" x14ac:dyDescent="0.3">
      <c r="A2" s="316" t="str">
        <f>'[1]Attachment 1 - Summary'!B2</f>
        <v>PC69864 New York Bus Sales, LLC</v>
      </c>
      <c r="B2" s="26"/>
      <c r="C2" s="26"/>
      <c r="D2" s="26"/>
      <c r="E2" s="26"/>
      <c r="F2" s="314"/>
    </row>
    <row r="3" spans="1:6" ht="24" thickBot="1" x14ac:dyDescent="0.25">
      <c r="A3" s="437" t="s">
        <v>531</v>
      </c>
      <c r="B3" s="438"/>
      <c r="C3" s="438"/>
      <c r="D3" s="439"/>
      <c r="E3" s="9"/>
      <c r="F3" s="210"/>
    </row>
    <row r="4" spans="1:6" ht="51" customHeight="1" thickBot="1" x14ac:dyDescent="0.25">
      <c r="A4" s="444" t="s">
        <v>532</v>
      </c>
      <c r="B4" s="445"/>
      <c r="C4" s="445"/>
      <c r="D4" s="446"/>
      <c r="E4" s="9"/>
      <c r="F4" s="210"/>
    </row>
    <row r="5" spans="1:6" s="4" customFormat="1" ht="11.25" customHeight="1" thickBot="1" x14ac:dyDescent="0.3">
      <c r="A5" s="57"/>
      <c r="B5" s="57"/>
      <c r="C5" s="57"/>
      <c r="D5" s="57"/>
      <c r="E5" s="57"/>
      <c r="F5" s="313"/>
    </row>
    <row r="6" spans="1:6" s="8" customFormat="1" ht="16.5" thickBot="1" x14ac:dyDescent="0.25">
      <c r="A6" s="346" t="s">
        <v>151</v>
      </c>
      <c r="B6" s="347"/>
      <c r="C6" s="347"/>
      <c r="D6" s="348"/>
      <c r="E6" s="36"/>
      <c r="F6" s="176" t="s">
        <v>420</v>
      </c>
    </row>
    <row r="7" spans="1:6" s="4" customFormat="1" ht="15" customHeight="1" thickBot="1" x14ac:dyDescent="0.3">
      <c r="A7" s="41" t="s">
        <v>6</v>
      </c>
      <c r="B7" s="27" t="s">
        <v>165</v>
      </c>
      <c r="C7" s="32"/>
      <c r="D7" s="40"/>
      <c r="E7" s="37"/>
      <c r="F7" s="177" t="s">
        <v>184</v>
      </c>
    </row>
    <row r="8" spans="1:6" ht="65.25" thickTop="1" thickBot="1" x14ac:dyDescent="0.25">
      <c r="A8" s="42" t="s">
        <v>9</v>
      </c>
      <c r="B8" s="337" t="s">
        <v>152</v>
      </c>
      <c r="C8" s="338"/>
      <c r="D8" s="339"/>
      <c r="E8" s="13"/>
      <c r="F8" s="192" t="s">
        <v>465</v>
      </c>
    </row>
    <row r="9" spans="1:6" s="8" customFormat="1" ht="44.25" customHeight="1" thickTop="1" thickBot="1" x14ac:dyDescent="0.25">
      <c r="A9" s="42" t="s">
        <v>136</v>
      </c>
      <c r="B9" s="337" t="s">
        <v>191</v>
      </c>
      <c r="C9" s="338"/>
      <c r="D9" s="339"/>
      <c r="E9" s="158"/>
      <c r="F9" s="167" t="s">
        <v>533</v>
      </c>
    </row>
    <row r="10" spans="1:6" s="8" customFormat="1" ht="15" customHeight="1" thickTop="1" x14ac:dyDescent="0.2">
      <c r="A10" s="141" t="s">
        <v>526</v>
      </c>
      <c r="B10" s="138" t="s">
        <v>527</v>
      </c>
      <c r="C10" s="139"/>
      <c r="D10" s="152"/>
      <c r="E10" s="13"/>
      <c r="F10" s="171">
        <v>2026</v>
      </c>
    </row>
    <row r="11" spans="1:6" x14ac:dyDescent="0.2">
      <c r="A11" s="43" t="s">
        <v>1</v>
      </c>
      <c r="B11" s="134" t="s">
        <v>153</v>
      </c>
      <c r="C11" s="135"/>
      <c r="D11" s="150"/>
      <c r="E11" s="159"/>
      <c r="F11" s="169" t="s">
        <v>421</v>
      </c>
    </row>
    <row r="12" spans="1:6" ht="12.75" customHeight="1" x14ac:dyDescent="0.2">
      <c r="A12" s="145" t="s">
        <v>0</v>
      </c>
      <c r="B12" s="134" t="s">
        <v>534</v>
      </c>
      <c r="C12" s="135"/>
      <c r="D12" s="150"/>
      <c r="E12" s="13"/>
      <c r="F12" s="169" t="s">
        <v>420</v>
      </c>
    </row>
    <row r="13" spans="1:6" ht="12.75" customHeight="1" x14ac:dyDescent="0.2">
      <c r="A13" s="146" t="s">
        <v>535</v>
      </c>
      <c r="B13" s="147" t="s">
        <v>536</v>
      </c>
      <c r="C13" s="148"/>
      <c r="D13" s="160"/>
      <c r="E13" s="159"/>
      <c r="F13" s="171">
        <v>2026</v>
      </c>
    </row>
    <row r="14" spans="1:6" s="9" customFormat="1" ht="15" customHeight="1" x14ac:dyDescent="0.25">
      <c r="A14" s="145" t="s">
        <v>3</v>
      </c>
      <c r="B14" s="134" t="s">
        <v>537</v>
      </c>
      <c r="C14" s="135"/>
      <c r="D14" s="150"/>
      <c r="E14" s="159"/>
      <c r="F14" s="169" t="s">
        <v>420</v>
      </c>
    </row>
    <row r="15" spans="1:6" ht="15.75" customHeight="1" thickBot="1" x14ac:dyDescent="0.25">
      <c r="A15" s="145" t="s">
        <v>4</v>
      </c>
      <c r="B15" s="136" t="s">
        <v>538</v>
      </c>
      <c r="C15" s="137"/>
      <c r="D15" s="151"/>
      <c r="E15" s="159"/>
      <c r="F15" s="169" t="s">
        <v>421</v>
      </c>
    </row>
    <row r="16" spans="1:6" ht="12.75" customHeight="1" thickTop="1" thickBot="1" x14ac:dyDescent="0.25">
      <c r="A16" s="149" t="s">
        <v>5</v>
      </c>
      <c r="B16" s="136" t="s">
        <v>539</v>
      </c>
      <c r="C16" s="137"/>
      <c r="D16" s="137"/>
      <c r="E16" s="158"/>
      <c r="F16" s="170">
        <v>2610</v>
      </c>
    </row>
    <row r="17" spans="1:8" ht="30.75" customHeight="1" thickTop="1" thickBot="1" x14ac:dyDescent="0.25">
      <c r="A17" s="45" t="s">
        <v>43</v>
      </c>
      <c r="B17" s="331" t="s">
        <v>159</v>
      </c>
      <c r="C17" s="332"/>
      <c r="D17" s="333"/>
      <c r="E17" s="13"/>
      <c r="F17" s="174" t="s">
        <v>399</v>
      </c>
    </row>
    <row r="18" spans="1:8" s="10" customFormat="1" ht="14.25" thickTop="1" thickBot="1" x14ac:dyDescent="0.25">
      <c r="C18" s="11"/>
      <c r="D18" s="11"/>
      <c r="E18" s="11"/>
      <c r="F18" s="175"/>
      <c r="G18" s="4"/>
      <c r="H18" s="4"/>
    </row>
    <row r="19" spans="1:8" s="12" customFormat="1" ht="16.5" thickBot="1" x14ac:dyDescent="0.25">
      <c r="A19" s="346" t="s">
        <v>150</v>
      </c>
      <c r="B19" s="347"/>
      <c r="C19" s="347"/>
      <c r="D19" s="348"/>
      <c r="E19" s="36"/>
      <c r="F19" s="176" t="s">
        <v>420</v>
      </c>
    </row>
    <row r="20" spans="1:8" s="4" customFormat="1" ht="15" customHeight="1" thickBot="1" x14ac:dyDescent="0.3">
      <c r="A20" s="55" t="s">
        <v>6</v>
      </c>
      <c r="B20" s="31" t="s">
        <v>165</v>
      </c>
      <c r="C20" s="33"/>
      <c r="D20" s="48"/>
      <c r="E20" s="37"/>
      <c r="F20" s="177" t="s">
        <v>184</v>
      </c>
    </row>
    <row r="21" spans="1:8" ht="56.25" customHeight="1" thickBot="1" x14ac:dyDescent="0.25">
      <c r="A21" s="46" t="s">
        <v>42</v>
      </c>
      <c r="B21" s="349" t="s">
        <v>161</v>
      </c>
      <c r="C21" s="350"/>
      <c r="D21" s="351"/>
      <c r="E21" s="13"/>
      <c r="F21" s="178">
        <f>427899*'PPI Adj'!H6</f>
        <v>445870.75800000003</v>
      </c>
    </row>
    <row r="22" spans="1:8" ht="26.1" customHeight="1" thickBot="1" x14ac:dyDescent="0.25">
      <c r="A22" s="47" t="s">
        <v>41</v>
      </c>
      <c r="B22" s="370" t="s">
        <v>163</v>
      </c>
      <c r="C22" s="371"/>
      <c r="D22" s="372"/>
      <c r="E22" s="1"/>
      <c r="F22" s="179">
        <v>22</v>
      </c>
    </row>
    <row r="23" spans="1:8" ht="13.5" thickBot="1" x14ac:dyDescent="0.25">
      <c r="A23" s="58"/>
      <c r="B23" s="1"/>
      <c r="C23" s="1"/>
      <c r="D23" s="1"/>
      <c r="E23" s="1"/>
      <c r="F23" s="180"/>
      <c r="G23" s="3"/>
      <c r="H23" s="3"/>
    </row>
    <row r="24" spans="1:8" s="8" customFormat="1" ht="16.5" thickBot="1" x14ac:dyDescent="0.25">
      <c r="A24" s="373" t="s">
        <v>164</v>
      </c>
      <c r="B24" s="374"/>
      <c r="C24" s="374"/>
      <c r="D24" s="375"/>
      <c r="E24" s="38"/>
      <c r="F24" s="176" t="s">
        <v>420</v>
      </c>
    </row>
    <row r="25" spans="1:8" s="3" customFormat="1" ht="15" customHeight="1" thickBot="1" x14ac:dyDescent="0.3">
      <c r="A25" s="55" t="s">
        <v>6</v>
      </c>
      <c r="B25" s="56" t="s">
        <v>7</v>
      </c>
      <c r="C25" s="376" t="s">
        <v>165</v>
      </c>
      <c r="D25" s="377"/>
      <c r="E25" s="39"/>
      <c r="F25" s="177" t="s">
        <v>184</v>
      </c>
    </row>
    <row r="26" spans="1:8" s="13" customFormat="1" ht="81.599999999999994" customHeight="1" thickBot="1" x14ac:dyDescent="0.3">
      <c r="A26" s="49" t="s">
        <v>8</v>
      </c>
      <c r="B26" s="29" t="s">
        <v>259</v>
      </c>
      <c r="C26" s="352" t="s">
        <v>118</v>
      </c>
      <c r="D26" s="353"/>
      <c r="E26" s="34"/>
      <c r="F26" s="174">
        <v>33000</v>
      </c>
    </row>
    <row r="27" spans="1:8" s="13" customFormat="1" x14ac:dyDescent="0.25">
      <c r="A27" s="354" t="s">
        <v>21</v>
      </c>
      <c r="B27" s="356" t="s">
        <v>263</v>
      </c>
      <c r="C27" s="358" t="s">
        <v>67</v>
      </c>
      <c r="D27" s="359"/>
      <c r="E27" s="34"/>
      <c r="F27" s="183">
        <v>8</v>
      </c>
    </row>
    <row r="28" spans="1:8" s="13" customFormat="1" ht="13.5" thickBot="1" x14ac:dyDescent="0.3">
      <c r="A28" s="355"/>
      <c r="B28" s="357"/>
      <c r="C28" s="352" t="s">
        <v>68</v>
      </c>
      <c r="D28" s="353"/>
      <c r="E28" s="34"/>
      <c r="F28" s="174">
        <v>48</v>
      </c>
    </row>
    <row r="29" spans="1:8" s="13" customFormat="1" ht="13.5" thickBot="1" x14ac:dyDescent="0.3">
      <c r="A29" s="50" t="s">
        <v>123</v>
      </c>
      <c r="B29" s="30" t="s">
        <v>108</v>
      </c>
      <c r="C29" s="427"/>
      <c r="D29" s="428"/>
      <c r="E29" s="142"/>
      <c r="F29" s="184"/>
    </row>
    <row r="30" spans="1:8" s="13" customFormat="1" x14ac:dyDescent="0.25">
      <c r="A30" s="354" t="s">
        <v>59</v>
      </c>
      <c r="B30" s="356"/>
      <c r="C30" s="358" t="s">
        <v>58</v>
      </c>
      <c r="D30" s="359"/>
      <c r="E30" s="34"/>
      <c r="F30" s="183" t="s">
        <v>452</v>
      </c>
    </row>
    <row r="31" spans="1:8" s="13" customFormat="1" x14ac:dyDescent="0.25">
      <c r="A31" s="362"/>
      <c r="B31" s="363"/>
      <c r="C31" s="364" t="s">
        <v>57</v>
      </c>
      <c r="D31" s="365"/>
      <c r="E31" s="34"/>
      <c r="F31" s="169" t="s">
        <v>453</v>
      </c>
    </row>
    <row r="32" spans="1:8" s="13" customFormat="1" x14ac:dyDescent="0.25">
      <c r="A32" s="362"/>
      <c r="B32" s="363"/>
      <c r="C32" s="364" t="s">
        <v>69</v>
      </c>
      <c r="D32" s="365"/>
      <c r="E32" s="34"/>
      <c r="F32" s="169" t="s">
        <v>423</v>
      </c>
    </row>
    <row r="33" spans="1:6" s="13" customFormat="1" x14ac:dyDescent="0.25">
      <c r="A33" s="362"/>
      <c r="B33" s="363"/>
      <c r="C33" s="366" t="s">
        <v>70</v>
      </c>
      <c r="D33" s="367"/>
      <c r="E33" s="34"/>
      <c r="F33" s="169" t="s">
        <v>424</v>
      </c>
    </row>
    <row r="34" spans="1:6" s="13" customFormat="1" ht="13.5" thickBot="1" x14ac:dyDescent="0.3">
      <c r="A34" s="355"/>
      <c r="B34" s="357"/>
      <c r="C34" s="352" t="s">
        <v>111</v>
      </c>
      <c r="D34" s="353"/>
      <c r="E34" s="34"/>
      <c r="F34" s="174" t="s">
        <v>454</v>
      </c>
    </row>
    <row r="35" spans="1:6" s="13" customFormat="1" ht="17.45" customHeight="1" thickBot="1" x14ac:dyDescent="0.3">
      <c r="A35" s="50" t="s">
        <v>224</v>
      </c>
      <c r="B35" s="30" t="s">
        <v>223</v>
      </c>
      <c r="C35" s="427"/>
      <c r="D35" s="428"/>
      <c r="E35" s="142"/>
      <c r="F35" s="184"/>
    </row>
    <row r="36" spans="1:6" s="13" customFormat="1" x14ac:dyDescent="0.25">
      <c r="A36" s="354" t="s">
        <v>11</v>
      </c>
      <c r="B36" s="356"/>
      <c r="C36" s="358" t="s">
        <v>24</v>
      </c>
      <c r="D36" s="359"/>
      <c r="E36" s="34"/>
      <c r="F36" s="183">
        <v>12000</v>
      </c>
    </row>
    <row r="37" spans="1:6" s="13" customFormat="1" ht="13.5" thickBot="1" x14ac:dyDescent="0.3">
      <c r="A37" s="355"/>
      <c r="B37" s="357"/>
      <c r="C37" s="352" t="s">
        <v>22</v>
      </c>
      <c r="D37" s="353"/>
      <c r="E37" s="34"/>
      <c r="F37" s="174">
        <v>12000</v>
      </c>
    </row>
    <row r="38" spans="1:6" s="13" customFormat="1" x14ac:dyDescent="0.25">
      <c r="A38" s="354" t="s">
        <v>16</v>
      </c>
      <c r="B38" s="356"/>
      <c r="C38" s="358" t="s">
        <v>24</v>
      </c>
      <c r="D38" s="359"/>
      <c r="E38" s="34"/>
      <c r="F38" s="183">
        <v>23000</v>
      </c>
    </row>
    <row r="39" spans="1:6" s="13" customFormat="1" ht="13.5" thickBot="1" x14ac:dyDescent="0.3">
      <c r="A39" s="355"/>
      <c r="B39" s="357"/>
      <c r="C39" s="360" t="s">
        <v>23</v>
      </c>
      <c r="D39" s="361"/>
      <c r="E39" s="34"/>
      <c r="F39" s="174">
        <v>23000</v>
      </c>
    </row>
    <row r="40" spans="1:6" s="13" customFormat="1" ht="13.5" thickBot="1" x14ac:dyDescent="0.3">
      <c r="A40" s="50" t="s">
        <v>52</v>
      </c>
      <c r="B40" s="30" t="s">
        <v>53</v>
      </c>
      <c r="C40" s="427"/>
      <c r="D40" s="428"/>
      <c r="E40" s="142"/>
      <c r="F40" s="184"/>
    </row>
    <row r="41" spans="1:6" s="13" customFormat="1" x14ac:dyDescent="0.25">
      <c r="A41" s="354" t="s">
        <v>219</v>
      </c>
      <c r="B41" s="356" t="s">
        <v>222</v>
      </c>
      <c r="C41" s="358" t="s">
        <v>221</v>
      </c>
      <c r="D41" s="359"/>
      <c r="E41" s="34"/>
      <c r="F41" s="183" t="s">
        <v>466</v>
      </c>
    </row>
    <row r="42" spans="1:6" s="13" customFormat="1" ht="14.45" customHeight="1" x14ac:dyDescent="0.25">
      <c r="A42" s="362"/>
      <c r="B42" s="363"/>
      <c r="C42" s="364" t="s">
        <v>220</v>
      </c>
      <c r="D42" s="365"/>
      <c r="E42" s="34"/>
      <c r="F42" s="169" t="s">
        <v>425</v>
      </c>
    </row>
    <row r="43" spans="1:6" s="13" customFormat="1" ht="94.5" customHeight="1" thickBot="1" x14ac:dyDescent="0.3">
      <c r="A43" s="355"/>
      <c r="B43" s="363"/>
      <c r="C43" s="360"/>
      <c r="D43" s="361"/>
      <c r="E43" s="34"/>
      <c r="F43" s="171"/>
    </row>
    <row r="44" spans="1:6" s="13" customFormat="1" ht="29.45" customHeight="1" thickBot="1" x14ac:dyDescent="0.3">
      <c r="A44" s="50" t="s">
        <v>219</v>
      </c>
      <c r="B44" s="30" t="s">
        <v>218</v>
      </c>
      <c r="C44" s="427"/>
      <c r="D44" s="428"/>
      <c r="E44" s="142"/>
      <c r="F44" s="184"/>
    </row>
    <row r="45" spans="1:6" s="13" customFormat="1" ht="13.5" thickBot="1" x14ac:dyDescent="0.3">
      <c r="A45" s="378" t="s">
        <v>12</v>
      </c>
      <c r="B45" s="379" t="s">
        <v>142</v>
      </c>
      <c r="C45" s="358" t="s">
        <v>174</v>
      </c>
      <c r="D45" s="359"/>
      <c r="E45" s="34"/>
      <c r="F45" s="183" t="s">
        <v>278</v>
      </c>
    </row>
    <row r="46" spans="1:6" s="13" customFormat="1" ht="13.5" thickBot="1" x14ac:dyDescent="0.3">
      <c r="A46" s="378"/>
      <c r="B46" s="379"/>
      <c r="C46" s="364" t="s">
        <v>175</v>
      </c>
      <c r="D46" s="365"/>
      <c r="E46" s="34"/>
      <c r="F46" s="169">
        <v>6610</v>
      </c>
    </row>
    <row r="47" spans="1:6" s="13" customFormat="1" ht="13.5" thickBot="1" x14ac:dyDescent="0.3">
      <c r="A47" s="378"/>
      <c r="B47" s="379"/>
      <c r="C47" s="364" t="s">
        <v>176</v>
      </c>
      <c r="D47" s="365"/>
      <c r="E47" s="34"/>
      <c r="F47" s="185" t="s">
        <v>278</v>
      </c>
    </row>
    <row r="48" spans="1:6" s="13" customFormat="1" ht="13.5" thickBot="1" x14ac:dyDescent="0.3">
      <c r="A48" s="378"/>
      <c r="B48" s="379"/>
      <c r="C48" s="364" t="s">
        <v>177</v>
      </c>
      <c r="D48" s="365"/>
      <c r="E48" s="34"/>
      <c r="F48" s="169">
        <v>6005</v>
      </c>
    </row>
    <row r="49" spans="1:6" s="13" customFormat="1" ht="13.5" thickBot="1" x14ac:dyDescent="0.3">
      <c r="A49" s="378"/>
      <c r="B49" s="379"/>
      <c r="C49" s="364" t="s">
        <v>112</v>
      </c>
      <c r="D49" s="365"/>
      <c r="E49" s="34"/>
      <c r="F49" s="169" t="s">
        <v>426</v>
      </c>
    </row>
    <row r="50" spans="1:6" s="13" customFormat="1" ht="13.5" thickBot="1" x14ac:dyDescent="0.3">
      <c r="A50" s="378"/>
      <c r="B50" s="379"/>
      <c r="C50" s="364" t="s">
        <v>113</v>
      </c>
      <c r="D50" s="365"/>
      <c r="E50" s="34"/>
      <c r="F50" s="169" t="s">
        <v>427</v>
      </c>
    </row>
    <row r="51" spans="1:6" s="13" customFormat="1" ht="13.5" thickBot="1" x14ac:dyDescent="0.3">
      <c r="A51" s="378"/>
      <c r="B51" s="379"/>
      <c r="C51" s="366" t="s">
        <v>114</v>
      </c>
      <c r="D51" s="367"/>
      <c r="E51" s="34"/>
      <c r="F51" s="169" t="s">
        <v>426</v>
      </c>
    </row>
    <row r="52" spans="1:6" s="13" customFormat="1" ht="15.6" customHeight="1" thickBot="1" x14ac:dyDescent="0.3">
      <c r="A52" s="378"/>
      <c r="B52" s="379"/>
      <c r="C52" s="352" t="s">
        <v>115</v>
      </c>
      <c r="D52" s="353"/>
      <c r="E52" s="34"/>
      <c r="F52" s="174" t="s">
        <v>427</v>
      </c>
    </row>
    <row r="53" spans="1:6" s="13" customFormat="1" x14ac:dyDescent="0.25">
      <c r="A53" s="354" t="s">
        <v>10</v>
      </c>
      <c r="B53" s="356" t="s">
        <v>217</v>
      </c>
      <c r="C53" s="358" t="s">
        <v>116</v>
      </c>
      <c r="D53" s="359"/>
      <c r="E53" s="34"/>
      <c r="F53" s="183">
        <v>1</v>
      </c>
    </row>
    <row r="54" spans="1:6" s="13" customFormat="1" x14ac:dyDescent="0.25">
      <c r="A54" s="362"/>
      <c r="B54" s="363"/>
      <c r="C54" s="364" t="s">
        <v>117</v>
      </c>
      <c r="D54" s="365"/>
      <c r="E54" s="34"/>
      <c r="F54" s="169" t="s">
        <v>197</v>
      </c>
    </row>
    <row r="55" spans="1:6" s="13" customFormat="1" ht="13.5" thickBot="1" x14ac:dyDescent="0.3">
      <c r="A55" s="355"/>
      <c r="B55" s="357"/>
      <c r="C55" s="360" t="s">
        <v>71</v>
      </c>
      <c r="D55" s="361"/>
      <c r="E55" s="34"/>
      <c r="F55" s="171" t="s">
        <v>467</v>
      </c>
    </row>
    <row r="56" spans="1:6" s="13" customFormat="1" ht="42.75" customHeight="1" thickBot="1" x14ac:dyDescent="0.3">
      <c r="A56" s="28" t="s">
        <v>185</v>
      </c>
      <c r="B56" s="28" t="s">
        <v>186</v>
      </c>
      <c r="C56" s="380" t="s">
        <v>187</v>
      </c>
      <c r="D56" s="430"/>
      <c r="E56" s="34"/>
      <c r="F56" s="183">
        <v>135</v>
      </c>
    </row>
    <row r="57" spans="1:6" s="13" customFormat="1" ht="12.75" customHeight="1" x14ac:dyDescent="0.25">
      <c r="A57" s="354" t="s">
        <v>26</v>
      </c>
      <c r="B57" s="356" t="s">
        <v>253</v>
      </c>
      <c r="C57" s="366" t="s">
        <v>188</v>
      </c>
      <c r="D57" s="449"/>
      <c r="E57" s="34"/>
      <c r="F57" s="183" t="s">
        <v>468</v>
      </c>
    </row>
    <row r="58" spans="1:6" s="13" customFormat="1" ht="12.75" customHeight="1" x14ac:dyDescent="0.25">
      <c r="A58" s="362"/>
      <c r="B58" s="363"/>
      <c r="C58" s="364" t="s">
        <v>189</v>
      </c>
      <c r="D58" s="432"/>
      <c r="E58" s="34"/>
      <c r="F58" s="169" t="s">
        <v>469</v>
      </c>
    </row>
    <row r="59" spans="1:6" s="13" customFormat="1" ht="32.25" customHeight="1" thickBot="1" x14ac:dyDescent="0.3">
      <c r="A59" s="355"/>
      <c r="B59" s="357"/>
      <c r="C59" s="360" t="s">
        <v>190</v>
      </c>
      <c r="D59" s="433"/>
      <c r="E59" s="34"/>
      <c r="F59" s="174">
        <v>700</v>
      </c>
    </row>
    <row r="60" spans="1:6" s="13" customFormat="1" ht="20.100000000000001" customHeight="1" thickBot="1" x14ac:dyDescent="0.3">
      <c r="A60" s="50" t="s">
        <v>44</v>
      </c>
      <c r="B60" s="30" t="s">
        <v>45</v>
      </c>
      <c r="C60" s="427"/>
      <c r="D60" s="428"/>
      <c r="E60" s="142"/>
      <c r="F60" s="186"/>
    </row>
    <row r="61" spans="1:6" s="13" customFormat="1" ht="28.5" customHeight="1" thickBot="1" x14ac:dyDescent="0.3">
      <c r="A61" s="50" t="s">
        <v>44</v>
      </c>
      <c r="B61" s="30" t="s">
        <v>63</v>
      </c>
      <c r="C61" s="427"/>
      <c r="D61" s="428"/>
      <c r="E61" s="142"/>
      <c r="F61" s="186"/>
    </row>
    <row r="62" spans="1:6" s="13" customFormat="1" ht="31.5" customHeight="1" thickBot="1" x14ac:dyDescent="0.3">
      <c r="A62" s="50" t="s">
        <v>44</v>
      </c>
      <c r="B62" s="30" t="s">
        <v>64</v>
      </c>
      <c r="C62" s="427"/>
      <c r="D62" s="428"/>
      <c r="E62" s="142"/>
      <c r="F62" s="186"/>
    </row>
    <row r="63" spans="1:6" s="13" customFormat="1" ht="30.95" customHeight="1" thickBot="1" x14ac:dyDescent="0.3">
      <c r="A63" s="50" t="s">
        <v>50</v>
      </c>
      <c r="B63" s="30" t="s">
        <v>216</v>
      </c>
      <c r="C63" s="427"/>
      <c r="D63" s="428"/>
      <c r="E63" s="142"/>
      <c r="F63" s="186"/>
    </row>
    <row r="64" spans="1:6" s="13" customFormat="1" ht="17.45" customHeight="1" thickBot="1" x14ac:dyDescent="0.3">
      <c r="A64" s="50" t="s">
        <v>27</v>
      </c>
      <c r="B64" s="30" t="s">
        <v>215</v>
      </c>
      <c r="C64" s="380" t="s">
        <v>77</v>
      </c>
      <c r="D64" s="381"/>
      <c r="E64" s="34"/>
      <c r="F64" s="184" t="s">
        <v>432</v>
      </c>
    </row>
    <row r="65" spans="1:6" s="13" customFormat="1" ht="54.6" customHeight="1" thickBot="1" x14ac:dyDescent="0.3">
      <c r="A65" s="50" t="s">
        <v>214</v>
      </c>
      <c r="B65" s="30" t="s">
        <v>213</v>
      </c>
      <c r="C65" s="380"/>
      <c r="D65" s="381"/>
      <c r="E65" s="34"/>
      <c r="F65" s="184"/>
    </row>
    <row r="66" spans="1:6" s="13" customFormat="1" ht="42.6" customHeight="1" thickBot="1" x14ac:dyDescent="0.3">
      <c r="A66" s="50" t="s">
        <v>51</v>
      </c>
      <c r="B66" s="30" t="s">
        <v>212</v>
      </c>
      <c r="C66" s="427"/>
      <c r="D66" s="428"/>
      <c r="E66" s="142"/>
      <c r="F66" s="184"/>
    </row>
    <row r="67" spans="1:6" s="13" customFormat="1" ht="41.1" customHeight="1" thickBot="1" x14ac:dyDescent="0.3">
      <c r="A67" s="50" t="s">
        <v>54</v>
      </c>
      <c r="B67" s="30" t="s">
        <v>80</v>
      </c>
      <c r="C67" s="427"/>
      <c r="D67" s="428"/>
      <c r="E67" s="142"/>
      <c r="F67" s="184"/>
    </row>
    <row r="68" spans="1:6" s="13" customFormat="1" ht="82.5" customHeight="1" thickBot="1" x14ac:dyDescent="0.3">
      <c r="A68" s="50" t="s">
        <v>29</v>
      </c>
      <c r="B68" s="30" t="s">
        <v>211</v>
      </c>
      <c r="C68" s="427"/>
      <c r="D68" s="428"/>
      <c r="E68" s="142"/>
      <c r="F68" s="184"/>
    </row>
    <row r="69" spans="1:6" s="13" customFormat="1" ht="68.45" customHeight="1" thickBot="1" x14ac:dyDescent="0.3">
      <c r="A69" s="50" t="s">
        <v>31</v>
      </c>
      <c r="B69" s="30" t="s">
        <v>210</v>
      </c>
      <c r="C69" s="380" t="s">
        <v>30</v>
      </c>
      <c r="D69" s="381"/>
      <c r="E69" s="34"/>
      <c r="F69" s="184" t="s">
        <v>435</v>
      </c>
    </row>
    <row r="70" spans="1:6" s="13" customFormat="1" ht="29.45" customHeight="1" thickBot="1" x14ac:dyDescent="0.3">
      <c r="A70" s="50" t="s">
        <v>55</v>
      </c>
      <c r="B70" s="30" t="s">
        <v>95</v>
      </c>
      <c r="C70" s="427"/>
      <c r="D70" s="428"/>
      <c r="E70" s="142"/>
      <c r="F70" s="184"/>
    </row>
    <row r="71" spans="1:6" s="13" customFormat="1" ht="30" customHeight="1" thickBot="1" x14ac:dyDescent="0.3">
      <c r="A71" s="50" t="s">
        <v>32</v>
      </c>
      <c r="B71" s="30" t="s">
        <v>96</v>
      </c>
      <c r="C71" s="380" t="s">
        <v>30</v>
      </c>
      <c r="D71" s="381"/>
      <c r="E71" s="34"/>
      <c r="F71" s="184" t="s">
        <v>436</v>
      </c>
    </row>
    <row r="72" spans="1:6" s="13" customFormat="1" ht="42" customHeight="1" thickBot="1" x14ac:dyDescent="0.3">
      <c r="A72" s="50" t="s">
        <v>56</v>
      </c>
      <c r="B72" s="30" t="s">
        <v>167</v>
      </c>
      <c r="C72" s="427"/>
      <c r="D72" s="428"/>
      <c r="E72" s="142"/>
      <c r="F72" s="184"/>
    </row>
    <row r="73" spans="1:6" s="13" customFormat="1" ht="29.45" customHeight="1" thickBot="1" x14ac:dyDescent="0.3">
      <c r="A73" s="50" t="s">
        <v>48</v>
      </c>
      <c r="B73" s="30" t="s">
        <v>47</v>
      </c>
      <c r="C73" s="427"/>
      <c r="D73" s="428"/>
      <c r="E73" s="142"/>
      <c r="F73" s="184"/>
    </row>
    <row r="74" spans="1:6" s="13" customFormat="1" ht="39.75" customHeight="1" thickBot="1" x14ac:dyDescent="0.3">
      <c r="A74" s="50" t="s">
        <v>49</v>
      </c>
      <c r="B74" s="30" t="s">
        <v>103</v>
      </c>
      <c r="C74" s="368" t="s">
        <v>304</v>
      </c>
      <c r="D74" s="369"/>
      <c r="E74" s="142"/>
      <c r="F74" s="184" t="s">
        <v>280</v>
      </c>
    </row>
    <row r="75" spans="1:6" s="13" customFormat="1" ht="28.5" customHeight="1" thickBot="1" x14ac:dyDescent="0.3">
      <c r="A75" s="50" t="s">
        <v>46</v>
      </c>
      <c r="B75" s="30" t="s">
        <v>81</v>
      </c>
      <c r="C75" s="427"/>
      <c r="D75" s="428"/>
      <c r="E75" s="142"/>
      <c r="F75" s="184"/>
    </row>
    <row r="76" spans="1:6" ht="13.5" thickBot="1" x14ac:dyDescent="0.25"/>
    <row r="77" spans="1:6" s="17" customFormat="1" ht="18.75" thickBot="1" x14ac:dyDescent="0.3">
      <c r="A77" s="373" t="s">
        <v>168</v>
      </c>
      <c r="B77" s="374"/>
      <c r="C77" s="374"/>
      <c r="D77" s="375"/>
      <c r="E77" s="38"/>
      <c r="F77" s="176" t="s">
        <v>420</v>
      </c>
    </row>
    <row r="78" spans="1:6" s="3" customFormat="1" ht="15" customHeight="1" thickBot="1" x14ac:dyDescent="0.3">
      <c r="A78" s="382" t="s">
        <v>169</v>
      </c>
      <c r="B78" s="383"/>
      <c r="C78" s="383"/>
      <c r="D78" s="384"/>
      <c r="E78" s="39"/>
      <c r="F78" s="177" t="s">
        <v>184</v>
      </c>
    </row>
    <row r="79" spans="1:6" s="13" customFormat="1" x14ac:dyDescent="0.25">
      <c r="A79" s="385" t="s">
        <v>83</v>
      </c>
      <c r="B79" s="386"/>
      <c r="C79" s="386"/>
      <c r="D79" s="387"/>
      <c r="E79" s="142"/>
      <c r="F79" s="189">
        <f>-1337.32*'PPI Adj'!H6</f>
        <v>-1393.4874399999999</v>
      </c>
    </row>
    <row r="80" spans="1:6" s="13" customFormat="1" ht="13.5" thickBot="1" x14ac:dyDescent="0.3">
      <c r="A80" s="388" t="s">
        <v>34</v>
      </c>
      <c r="B80" s="389"/>
      <c r="C80" s="389"/>
      <c r="D80" s="390"/>
      <c r="E80" s="34"/>
      <c r="F80" s="190">
        <f>544.44*'PPI Adj'!H6</f>
        <v>567.30648000000008</v>
      </c>
    </row>
    <row r="81" spans="1:6" s="13" customFormat="1" ht="13.5" thickBot="1" x14ac:dyDescent="0.3">
      <c r="A81" s="388" t="s">
        <v>35</v>
      </c>
      <c r="B81" s="389"/>
      <c r="C81" s="389"/>
      <c r="D81" s="390"/>
      <c r="E81" s="142"/>
      <c r="F81" s="193">
        <f>704.57*'PPI Adj'!H6</f>
        <v>734.16194000000007</v>
      </c>
    </row>
    <row r="82" spans="1:6" s="13" customFormat="1" x14ac:dyDescent="0.25">
      <c r="A82" s="388" t="s">
        <v>36</v>
      </c>
      <c r="B82" s="389"/>
      <c r="C82" s="389"/>
      <c r="D82" s="390"/>
      <c r="E82" s="34"/>
      <c r="F82" s="190">
        <f>1340.82*'PPI Adj'!H6</f>
        <v>1397.13444</v>
      </c>
    </row>
    <row r="83" spans="1:6" s="13" customFormat="1" x14ac:dyDescent="0.25">
      <c r="A83" s="388" t="s">
        <v>60</v>
      </c>
      <c r="B83" s="389"/>
      <c r="C83" s="389"/>
      <c r="D83" s="390"/>
      <c r="E83" s="34"/>
      <c r="F83" s="190">
        <f>655.98*'PPI Adj'!H6</f>
        <v>683.53116</v>
      </c>
    </row>
    <row r="84" spans="1:6" s="13" customFormat="1" x14ac:dyDescent="0.25">
      <c r="A84" s="388" t="s">
        <v>61</v>
      </c>
      <c r="B84" s="389"/>
      <c r="C84" s="389"/>
      <c r="D84" s="390"/>
      <c r="E84" s="34"/>
      <c r="F84" s="190" t="s">
        <v>183</v>
      </c>
    </row>
    <row r="85" spans="1:6" s="13" customFormat="1" x14ac:dyDescent="0.25">
      <c r="A85" s="388" t="s">
        <v>86</v>
      </c>
      <c r="B85" s="389"/>
      <c r="C85" s="389"/>
      <c r="D85" s="390"/>
      <c r="E85" s="34"/>
      <c r="F85" s="190">
        <f>1202.76*'PPI Adj'!H6</f>
        <v>1253.27592</v>
      </c>
    </row>
    <row r="86" spans="1:6" ht="13.5" thickBot="1" x14ac:dyDescent="0.25">
      <c r="A86" s="388" t="s">
        <v>85</v>
      </c>
      <c r="B86" s="389"/>
      <c r="C86" s="389"/>
      <c r="D86" s="390"/>
      <c r="E86" s="34"/>
      <c r="F86" s="194">
        <f>5529.54*'PPI Adj'!H6</f>
        <v>5761.7806799999998</v>
      </c>
    </row>
    <row r="87" spans="1:6" x14ac:dyDescent="0.2">
      <c r="A87" s="388" t="s">
        <v>13</v>
      </c>
      <c r="B87" s="389"/>
      <c r="C87" s="389"/>
      <c r="D87" s="390"/>
      <c r="E87" s="34"/>
      <c r="F87" s="190">
        <f>6533.28*'PPI Adj'!H6</f>
        <v>6807.6777599999996</v>
      </c>
    </row>
    <row r="88" spans="1:6" x14ac:dyDescent="0.2">
      <c r="A88" s="388" t="s">
        <v>37</v>
      </c>
      <c r="B88" s="389"/>
      <c r="C88" s="389"/>
      <c r="D88" s="390"/>
      <c r="E88" s="142"/>
      <c r="F88" s="190">
        <f>97.5*'PPI Adj'!H6</f>
        <v>101.595</v>
      </c>
    </row>
    <row r="89" spans="1:6" x14ac:dyDescent="0.2">
      <c r="A89" s="388" t="s">
        <v>38</v>
      </c>
      <c r="B89" s="389"/>
      <c r="C89" s="389"/>
      <c r="D89" s="390"/>
      <c r="E89" s="142"/>
      <c r="F89" s="190">
        <f>397.8*'PPI Adj'!H6</f>
        <v>414.50760000000002</v>
      </c>
    </row>
    <row r="90" spans="1:6" x14ac:dyDescent="0.2">
      <c r="A90" s="388" t="s">
        <v>201</v>
      </c>
      <c r="B90" s="389"/>
      <c r="C90" s="389"/>
      <c r="D90" s="390"/>
      <c r="E90" s="142"/>
      <c r="F90" s="190" t="s">
        <v>183</v>
      </c>
    </row>
    <row r="91" spans="1:6" x14ac:dyDescent="0.2">
      <c r="A91" s="388" t="s">
        <v>39</v>
      </c>
      <c r="B91" s="389"/>
      <c r="C91" s="389"/>
      <c r="D91" s="390"/>
      <c r="E91" s="34"/>
      <c r="F91" s="190">
        <f>723.06*'PPI Adj'!H6</f>
        <v>753.42851999999993</v>
      </c>
    </row>
    <row r="92" spans="1:6" ht="13.5" thickBot="1" x14ac:dyDescent="0.25">
      <c r="A92" s="388" t="s">
        <v>40</v>
      </c>
      <c r="B92" s="389"/>
      <c r="C92" s="389"/>
      <c r="D92" s="390"/>
      <c r="E92" s="34"/>
      <c r="F92" s="190">
        <f>578.76*'PPI Adj'!H6</f>
        <v>603.06791999999996</v>
      </c>
    </row>
    <row r="93" spans="1:6" ht="13.5" thickBot="1" x14ac:dyDescent="0.25">
      <c r="A93" s="388" t="s">
        <v>14</v>
      </c>
      <c r="B93" s="389"/>
      <c r="C93" s="389"/>
      <c r="D93" s="390"/>
      <c r="E93" s="34"/>
      <c r="F93" s="195">
        <f>23397.19*'PPI Adj'!H6</f>
        <v>24379.87198</v>
      </c>
    </row>
    <row r="94" spans="1:6" ht="13.5" thickBot="1" x14ac:dyDescent="0.25">
      <c r="A94" s="388" t="s">
        <v>91</v>
      </c>
      <c r="B94" s="389"/>
      <c r="C94" s="389"/>
      <c r="D94" s="390"/>
      <c r="E94" s="34"/>
      <c r="F94" s="193">
        <f>1956.6*'PPI Adj'!H6</f>
        <v>2038.7772</v>
      </c>
    </row>
    <row r="95" spans="1:6" ht="13.5" thickBot="1" x14ac:dyDescent="0.25">
      <c r="A95" s="394" t="s">
        <v>275</v>
      </c>
      <c r="B95" s="395"/>
      <c r="C95" s="395"/>
      <c r="D95" s="396"/>
      <c r="E95" s="34"/>
      <c r="F95" s="193">
        <f>-449.16*'PPI Adj'!H6</f>
        <v>-468.02472000000006</v>
      </c>
    </row>
    <row r="96" spans="1:6" ht="15.95" customHeight="1" thickBot="1" x14ac:dyDescent="0.25">
      <c r="A96" s="391" t="s">
        <v>92</v>
      </c>
      <c r="B96" s="392"/>
      <c r="C96" s="392"/>
      <c r="D96" s="393"/>
      <c r="E96" s="142"/>
      <c r="F96" s="191">
        <f>1013.03*'PPI Adj'!H6</f>
        <v>1055.57726</v>
      </c>
    </row>
    <row r="97" spans="1:6" ht="13.5" thickBot="1" x14ac:dyDescent="0.25"/>
    <row r="98" spans="1:6" s="17" customFormat="1" ht="18.75" thickBot="1" x14ac:dyDescent="0.3">
      <c r="A98" s="373" t="s">
        <v>166</v>
      </c>
      <c r="B98" s="374"/>
      <c r="C98" s="374"/>
      <c r="D98" s="375"/>
      <c r="E98" s="38"/>
      <c r="F98" s="176" t="s">
        <v>420</v>
      </c>
    </row>
    <row r="99" spans="1:6" s="3" customFormat="1" ht="15" customHeight="1" thickBot="1" x14ac:dyDescent="0.3">
      <c r="A99" s="52" t="s">
        <v>33</v>
      </c>
      <c r="B99" s="24" t="s">
        <v>7</v>
      </c>
      <c r="C99" s="397" t="s">
        <v>165</v>
      </c>
      <c r="D99" s="398"/>
      <c r="E99" s="39"/>
      <c r="F99" s="177" t="s">
        <v>184</v>
      </c>
    </row>
    <row r="100" spans="1:6" s="13" customFormat="1" ht="42.6" customHeight="1" thickBot="1" x14ac:dyDescent="0.3">
      <c r="A100" s="53" t="s">
        <v>83</v>
      </c>
      <c r="B100" s="23" t="s">
        <v>146</v>
      </c>
      <c r="C100" s="447"/>
      <c r="D100" s="448"/>
      <c r="E100" s="142"/>
      <c r="F100" s="184" t="s">
        <v>438</v>
      </c>
    </row>
    <row r="101" spans="1:6" s="13" customFormat="1" ht="26.25" thickBot="1" x14ac:dyDescent="0.3">
      <c r="A101" s="50" t="s">
        <v>34</v>
      </c>
      <c r="B101" s="30" t="s">
        <v>107</v>
      </c>
      <c r="C101" s="380" t="s">
        <v>30</v>
      </c>
      <c r="D101" s="381"/>
      <c r="E101" s="34"/>
      <c r="F101" s="184" t="s">
        <v>439</v>
      </c>
    </row>
    <row r="102" spans="1:6" s="13" customFormat="1" ht="54.6" customHeight="1" thickBot="1" x14ac:dyDescent="0.3">
      <c r="A102" s="50" t="s">
        <v>35</v>
      </c>
      <c r="B102" s="30" t="s">
        <v>97</v>
      </c>
      <c r="C102" s="427"/>
      <c r="D102" s="428"/>
      <c r="E102" s="142"/>
      <c r="F102" s="184"/>
    </row>
    <row r="103" spans="1:6" s="13" customFormat="1" ht="26.25" thickBot="1" x14ac:dyDescent="0.3">
      <c r="A103" s="50" t="s">
        <v>36</v>
      </c>
      <c r="B103" s="30" t="s">
        <v>84</v>
      </c>
      <c r="C103" s="380" t="s">
        <v>99</v>
      </c>
      <c r="D103" s="381"/>
      <c r="E103" s="34"/>
      <c r="F103" s="184" t="s">
        <v>441</v>
      </c>
    </row>
    <row r="104" spans="1:6" s="13" customFormat="1" ht="12.75" customHeight="1" x14ac:dyDescent="0.25">
      <c r="A104" s="354" t="s">
        <v>60</v>
      </c>
      <c r="B104" s="356" t="s">
        <v>133</v>
      </c>
      <c r="C104" s="358" t="s">
        <v>203</v>
      </c>
      <c r="D104" s="359"/>
      <c r="E104" s="34"/>
      <c r="F104" s="183" t="s">
        <v>278</v>
      </c>
    </row>
    <row r="105" spans="1:6" s="13" customFormat="1" ht="12.6" customHeight="1" x14ac:dyDescent="0.25">
      <c r="A105" s="362"/>
      <c r="B105" s="363"/>
      <c r="C105" s="364" t="s">
        <v>202</v>
      </c>
      <c r="D105" s="365"/>
      <c r="E105" s="34"/>
      <c r="F105" s="169">
        <v>6610</v>
      </c>
    </row>
    <row r="106" spans="1:6" s="13" customFormat="1" ht="12.6" customHeight="1" x14ac:dyDescent="0.25">
      <c r="A106" s="362"/>
      <c r="B106" s="363"/>
      <c r="C106" s="364" t="s">
        <v>114</v>
      </c>
      <c r="D106" s="365"/>
      <c r="E106" s="34"/>
      <c r="F106" s="169" t="s">
        <v>442</v>
      </c>
    </row>
    <row r="107" spans="1:6" s="13" customFormat="1" ht="30.75" customHeight="1" thickBot="1" x14ac:dyDescent="0.3">
      <c r="A107" s="355"/>
      <c r="B107" s="357"/>
      <c r="C107" s="360" t="s">
        <v>115</v>
      </c>
      <c r="D107" s="361"/>
      <c r="E107" s="34"/>
      <c r="F107" s="174" t="s">
        <v>443</v>
      </c>
    </row>
    <row r="108" spans="1:6" s="13" customFormat="1" ht="12.75" customHeight="1" x14ac:dyDescent="0.25">
      <c r="A108" s="354" t="s">
        <v>61</v>
      </c>
      <c r="B108" s="356" t="s">
        <v>206</v>
      </c>
      <c r="C108" s="358" t="s">
        <v>205</v>
      </c>
      <c r="D108" s="359"/>
      <c r="E108" s="34"/>
      <c r="F108" s="183"/>
    </row>
    <row r="109" spans="1:6" s="13" customFormat="1" ht="12.6" customHeight="1" x14ac:dyDescent="0.25">
      <c r="A109" s="362"/>
      <c r="B109" s="363"/>
      <c r="C109" s="364" t="s">
        <v>204</v>
      </c>
      <c r="D109" s="365"/>
      <c r="E109" s="34"/>
      <c r="F109" s="185"/>
    </row>
    <row r="110" spans="1:6" s="13" customFormat="1" ht="12.6" customHeight="1" x14ac:dyDescent="0.25">
      <c r="A110" s="362"/>
      <c r="B110" s="363"/>
      <c r="C110" s="364" t="s">
        <v>203</v>
      </c>
      <c r="D110" s="365"/>
      <c r="E110" s="34"/>
      <c r="F110" s="185"/>
    </row>
    <row r="111" spans="1:6" s="13" customFormat="1" ht="12.6" customHeight="1" x14ac:dyDescent="0.25">
      <c r="A111" s="362"/>
      <c r="B111" s="363"/>
      <c r="C111" s="364" t="s">
        <v>202</v>
      </c>
      <c r="D111" s="365"/>
      <c r="E111" s="34"/>
      <c r="F111" s="169"/>
    </row>
    <row r="112" spans="1:6" s="13" customFormat="1" ht="12.6" customHeight="1" x14ac:dyDescent="0.25">
      <c r="A112" s="362"/>
      <c r="B112" s="363"/>
      <c r="C112" s="364" t="s">
        <v>112</v>
      </c>
      <c r="D112" s="365"/>
      <c r="E112" s="34"/>
      <c r="F112" s="169"/>
    </row>
    <row r="113" spans="1:6" s="13" customFormat="1" ht="12.6" customHeight="1" x14ac:dyDescent="0.25">
      <c r="A113" s="362"/>
      <c r="B113" s="363"/>
      <c r="C113" s="364" t="s">
        <v>113</v>
      </c>
      <c r="D113" s="365"/>
      <c r="E113" s="34"/>
      <c r="F113" s="185"/>
    </row>
    <row r="114" spans="1:6" s="13" customFormat="1" ht="12.6" customHeight="1" x14ac:dyDescent="0.25">
      <c r="A114" s="362"/>
      <c r="B114" s="363"/>
      <c r="C114" s="364" t="s">
        <v>114</v>
      </c>
      <c r="D114" s="365"/>
      <c r="E114" s="34"/>
      <c r="F114" s="185"/>
    </row>
    <row r="115" spans="1:6" s="13" customFormat="1" ht="12.95" customHeight="1" thickBot="1" x14ac:dyDescent="0.3">
      <c r="A115" s="355"/>
      <c r="B115" s="357"/>
      <c r="C115" s="360" t="s">
        <v>115</v>
      </c>
      <c r="D115" s="361"/>
      <c r="E115" s="34"/>
      <c r="F115" s="174"/>
    </row>
    <row r="116" spans="1:6" s="13" customFormat="1" ht="146.44999999999999" customHeight="1" thickBot="1" x14ac:dyDescent="0.3">
      <c r="A116" s="54" t="s">
        <v>86</v>
      </c>
      <c r="B116" s="18" t="s">
        <v>143</v>
      </c>
      <c r="C116" s="380" t="s">
        <v>104</v>
      </c>
      <c r="D116" s="381"/>
      <c r="E116" s="34"/>
      <c r="F116" s="183" t="s">
        <v>444</v>
      </c>
    </row>
    <row r="117" spans="1:6" ht="168.95" customHeight="1" thickBot="1" x14ac:dyDescent="0.25">
      <c r="A117" s="50" t="s">
        <v>85</v>
      </c>
      <c r="B117" s="144" t="s">
        <v>170</v>
      </c>
      <c r="C117" s="380" t="s">
        <v>104</v>
      </c>
      <c r="D117" s="381"/>
      <c r="E117" s="34"/>
      <c r="F117" s="184" t="s">
        <v>464</v>
      </c>
    </row>
    <row r="118" spans="1:6" ht="24.95" customHeight="1" x14ac:dyDescent="0.2">
      <c r="A118" s="354" t="s">
        <v>13</v>
      </c>
      <c r="B118" s="356" t="s">
        <v>98</v>
      </c>
      <c r="C118" s="358" t="s">
        <v>30</v>
      </c>
      <c r="D118" s="359"/>
      <c r="E118" s="34"/>
      <c r="F118" s="183" t="s">
        <v>446</v>
      </c>
    </row>
    <row r="119" spans="1:6" ht="30.6" customHeight="1" thickBot="1" x14ac:dyDescent="0.25">
      <c r="A119" s="355"/>
      <c r="B119" s="357"/>
      <c r="C119" s="360" t="s">
        <v>109</v>
      </c>
      <c r="D119" s="361"/>
      <c r="E119" s="34"/>
      <c r="F119" s="174">
        <v>1000</v>
      </c>
    </row>
    <row r="120" spans="1:6" ht="70.5" customHeight="1" thickBot="1" x14ac:dyDescent="0.25">
      <c r="A120" s="50" t="s">
        <v>37</v>
      </c>
      <c r="B120" s="30" t="s">
        <v>135</v>
      </c>
      <c r="C120" s="427"/>
      <c r="D120" s="428"/>
      <c r="E120" s="142"/>
      <c r="F120" s="184" t="s">
        <v>447</v>
      </c>
    </row>
    <row r="121" spans="1:6" ht="42.95" customHeight="1" thickBot="1" x14ac:dyDescent="0.25">
      <c r="A121" s="50" t="s">
        <v>38</v>
      </c>
      <c r="B121" s="30" t="s">
        <v>87</v>
      </c>
      <c r="C121" s="427"/>
      <c r="D121" s="428"/>
      <c r="E121" s="142"/>
      <c r="F121" s="184"/>
    </row>
    <row r="122" spans="1:6" ht="18.95" customHeight="1" thickBot="1" x14ac:dyDescent="0.25">
      <c r="A122" s="50" t="s">
        <v>201</v>
      </c>
      <c r="B122" s="30" t="s">
        <v>200</v>
      </c>
      <c r="C122" s="380"/>
      <c r="D122" s="381"/>
      <c r="E122" s="34"/>
      <c r="F122" s="184"/>
    </row>
    <row r="123" spans="1:6" ht="30" customHeight="1" thickBot="1" x14ac:dyDescent="0.25">
      <c r="A123" s="50" t="s">
        <v>39</v>
      </c>
      <c r="B123" s="30" t="s">
        <v>106</v>
      </c>
      <c r="C123" s="380" t="s">
        <v>105</v>
      </c>
      <c r="D123" s="381"/>
      <c r="E123" s="34"/>
      <c r="F123" s="184" t="s">
        <v>184</v>
      </c>
    </row>
    <row r="124" spans="1:6" ht="39" thickBot="1" x14ac:dyDescent="0.25">
      <c r="A124" s="50" t="s">
        <v>40</v>
      </c>
      <c r="B124" s="30" t="s">
        <v>137</v>
      </c>
      <c r="C124" s="380" t="s">
        <v>100</v>
      </c>
      <c r="D124" s="381"/>
      <c r="E124" s="34"/>
      <c r="F124" s="174" t="s">
        <v>457</v>
      </c>
    </row>
    <row r="125" spans="1:6" ht="54.95" customHeight="1" thickBot="1" x14ac:dyDescent="0.25">
      <c r="A125" s="50" t="s">
        <v>14</v>
      </c>
      <c r="B125" s="30" t="s">
        <v>138</v>
      </c>
      <c r="C125" s="380" t="s">
        <v>540</v>
      </c>
      <c r="D125" s="430"/>
      <c r="E125" s="34"/>
      <c r="F125" s="184" t="s">
        <v>530</v>
      </c>
    </row>
    <row r="126" spans="1:6" ht="69.95" customHeight="1" thickBot="1" x14ac:dyDescent="0.25">
      <c r="A126" s="50" t="s">
        <v>91</v>
      </c>
      <c r="B126" s="30" t="s">
        <v>144</v>
      </c>
      <c r="C126" s="380" t="s">
        <v>100</v>
      </c>
      <c r="D126" s="381"/>
      <c r="E126" s="34"/>
      <c r="F126" s="184" t="s">
        <v>359</v>
      </c>
    </row>
    <row r="127" spans="1:6" ht="69.95" customHeight="1" thickBot="1" x14ac:dyDescent="0.25">
      <c r="A127" s="50" t="s">
        <v>92</v>
      </c>
      <c r="B127" s="30" t="s">
        <v>145</v>
      </c>
      <c r="C127" s="427"/>
      <c r="D127" s="428"/>
      <c r="E127" s="142"/>
      <c r="F127" s="184"/>
    </row>
  </sheetData>
  <sheetProtection algorithmName="SHA-512" hashValue="SuPqvZhc17NNIDoZLnNXxsvmsvfVe4gL01ARc8wAwsC7tV0o/XNvN3J5a46OSgxow3Y+J4tA1vHI/R0Moai9vw==" saltValue="RcQ86GUqzVOf2jVxAZiiGg==" spinCount="100000" sheet="1" objects="1" scenarios="1"/>
  <dataConsolidate/>
  <mergeCells count="133">
    <mergeCell ref="B17:D17"/>
    <mergeCell ref="A19:D19"/>
    <mergeCell ref="B21:D21"/>
    <mergeCell ref="B22:D22"/>
    <mergeCell ref="A24:D24"/>
    <mergeCell ref="C25:D25"/>
    <mergeCell ref="A6:D6"/>
    <mergeCell ref="B8:D8"/>
    <mergeCell ref="B9:D9"/>
    <mergeCell ref="A30:A34"/>
    <mergeCell ref="B30:B34"/>
    <mergeCell ref="C30:D30"/>
    <mergeCell ref="C31:D31"/>
    <mergeCell ref="C32:D32"/>
    <mergeCell ref="C33:D33"/>
    <mergeCell ref="C34:D34"/>
    <mergeCell ref="C26:D26"/>
    <mergeCell ref="A27:A28"/>
    <mergeCell ref="B27:B28"/>
    <mergeCell ref="C27:D27"/>
    <mergeCell ref="C28:D28"/>
    <mergeCell ref="C29:D29"/>
    <mergeCell ref="C40:D40"/>
    <mergeCell ref="A41:A43"/>
    <mergeCell ref="B41:B43"/>
    <mergeCell ref="C41:D41"/>
    <mergeCell ref="C42:D42"/>
    <mergeCell ref="C43:D43"/>
    <mergeCell ref="C35:D35"/>
    <mergeCell ref="A36:A37"/>
    <mergeCell ref="B36:B37"/>
    <mergeCell ref="C36:D36"/>
    <mergeCell ref="C37:D37"/>
    <mergeCell ref="A38:A39"/>
    <mergeCell ref="B38:B39"/>
    <mergeCell ref="C38:D38"/>
    <mergeCell ref="C39:D39"/>
    <mergeCell ref="C44:D44"/>
    <mergeCell ref="A45:A52"/>
    <mergeCell ref="B45:B52"/>
    <mergeCell ref="C45:D45"/>
    <mergeCell ref="C46:D46"/>
    <mergeCell ref="C47:D47"/>
    <mergeCell ref="C48:D48"/>
    <mergeCell ref="C49:D49"/>
    <mergeCell ref="C50:D50"/>
    <mergeCell ref="C51:D51"/>
    <mergeCell ref="C56:D56"/>
    <mergeCell ref="A57:A59"/>
    <mergeCell ref="B57:B59"/>
    <mergeCell ref="C57:D57"/>
    <mergeCell ref="C58:D58"/>
    <mergeCell ref="C59:D59"/>
    <mergeCell ref="C52:D52"/>
    <mergeCell ref="A53:A55"/>
    <mergeCell ref="B53:B55"/>
    <mergeCell ref="C53:D53"/>
    <mergeCell ref="C54:D54"/>
    <mergeCell ref="C55:D55"/>
    <mergeCell ref="C66:D66"/>
    <mergeCell ref="C67:D67"/>
    <mergeCell ref="C68:D68"/>
    <mergeCell ref="C69:D69"/>
    <mergeCell ref="C70:D70"/>
    <mergeCell ref="C71:D71"/>
    <mergeCell ref="C60:D60"/>
    <mergeCell ref="C61:D61"/>
    <mergeCell ref="C62:D62"/>
    <mergeCell ref="C63:D63"/>
    <mergeCell ref="C64:D64"/>
    <mergeCell ref="C65:D65"/>
    <mergeCell ref="A79:D79"/>
    <mergeCell ref="A80:D80"/>
    <mergeCell ref="A81:D81"/>
    <mergeCell ref="A82:D82"/>
    <mergeCell ref="A83:D83"/>
    <mergeCell ref="A84:D84"/>
    <mergeCell ref="C72:D72"/>
    <mergeCell ref="C73:D73"/>
    <mergeCell ref="C74:D74"/>
    <mergeCell ref="C75:D75"/>
    <mergeCell ref="A77:D77"/>
    <mergeCell ref="A78:D78"/>
    <mergeCell ref="A91:D91"/>
    <mergeCell ref="A92:D92"/>
    <mergeCell ref="A93:D93"/>
    <mergeCell ref="A94:D94"/>
    <mergeCell ref="A95:D95"/>
    <mergeCell ref="A96:D96"/>
    <mergeCell ref="A85:D85"/>
    <mergeCell ref="A86:D86"/>
    <mergeCell ref="A87:D87"/>
    <mergeCell ref="A88:D88"/>
    <mergeCell ref="A89:D89"/>
    <mergeCell ref="A90:D90"/>
    <mergeCell ref="C114:D114"/>
    <mergeCell ref="C115:D115"/>
    <mergeCell ref="A104:A107"/>
    <mergeCell ref="B104:B107"/>
    <mergeCell ref="C104:D104"/>
    <mergeCell ref="C105:D105"/>
    <mergeCell ref="C106:D106"/>
    <mergeCell ref="C107:D107"/>
    <mergeCell ref="A98:D98"/>
    <mergeCell ref="C99:D99"/>
    <mergeCell ref="C100:D100"/>
    <mergeCell ref="C101:D101"/>
    <mergeCell ref="C102:D102"/>
    <mergeCell ref="C103:D103"/>
    <mergeCell ref="A3:D3"/>
    <mergeCell ref="A4:D4"/>
    <mergeCell ref="C126:D126"/>
    <mergeCell ref="C127:D127"/>
    <mergeCell ref="C120:D120"/>
    <mergeCell ref="C121:D121"/>
    <mergeCell ref="C122:D122"/>
    <mergeCell ref="C123:D123"/>
    <mergeCell ref="C124:D124"/>
    <mergeCell ref="C125:D125"/>
    <mergeCell ref="C116:D116"/>
    <mergeCell ref="C117:D117"/>
    <mergeCell ref="A118:A119"/>
    <mergeCell ref="B118:B119"/>
    <mergeCell ref="C118:D118"/>
    <mergeCell ref="C119:D119"/>
    <mergeCell ref="A108:A115"/>
    <mergeCell ref="B108:B115"/>
    <mergeCell ref="C108:D108"/>
    <mergeCell ref="C109:D109"/>
    <mergeCell ref="C110:D110"/>
    <mergeCell ref="C111:D111"/>
    <mergeCell ref="C112:D112"/>
    <mergeCell ref="C113:D113"/>
  </mergeCells>
  <conditionalFormatting sqref="C62">
    <cfRule type="expression" dxfId="153" priority="40">
      <formula>#REF!="NO"</formula>
    </cfRule>
  </conditionalFormatting>
  <conditionalFormatting sqref="C74">
    <cfRule type="expression" dxfId="152" priority="10">
      <formula>$F$2="NO"</formula>
    </cfRule>
  </conditionalFormatting>
  <conditionalFormatting sqref="C41:D43">
    <cfRule type="expression" dxfId="151" priority="32">
      <formula>$F$2="NO"</formula>
    </cfRule>
  </conditionalFormatting>
  <conditionalFormatting sqref="C56:D59">
    <cfRule type="expression" dxfId="150" priority="13">
      <formula>$F$2="NO"</formula>
    </cfRule>
  </conditionalFormatting>
  <conditionalFormatting sqref="C125:D125">
    <cfRule type="expression" dxfId="149" priority="5">
      <formula>$F$2="NO"</formula>
    </cfRule>
  </conditionalFormatting>
  <conditionalFormatting sqref="C26:E40">
    <cfRule type="expression" dxfId="148" priority="34">
      <formula>#REF!="NO"</formula>
    </cfRule>
  </conditionalFormatting>
  <conditionalFormatting sqref="C44:E55 F60:F68 F70 F72:F73 C75:F75 F87:F92 F96">
    <cfRule type="expression" dxfId="147" priority="31">
      <formula>#REF!="NO"</formula>
    </cfRule>
  </conditionalFormatting>
  <conditionalFormatting sqref="C60:E73">
    <cfRule type="expression" dxfId="146" priority="37">
      <formula>#REF!="NO"</formula>
    </cfRule>
  </conditionalFormatting>
  <conditionalFormatting sqref="C100:E121">
    <cfRule type="expression" dxfId="145" priority="38">
      <formula>#REF!="NO"</formula>
    </cfRule>
  </conditionalFormatting>
  <conditionalFormatting sqref="C122:F122">
    <cfRule type="expression" dxfId="144" priority="35">
      <formula>#REF!="NO"</formula>
    </cfRule>
  </conditionalFormatting>
  <conditionalFormatting sqref="E41:E43">
    <cfRule type="expression" dxfId="143" priority="33">
      <formula>#REF!="NO"</formula>
    </cfRule>
  </conditionalFormatting>
  <conditionalFormatting sqref="E56:E59 E74 C123:E124 C126:E127">
    <cfRule type="expression" dxfId="142" priority="41">
      <formula>#REF!="NO"</formula>
    </cfRule>
  </conditionalFormatting>
  <conditionalFormatting sqref="E79:E96">
    <cfRule type="expression" dxfId="141" priority="27">
      <formula>#REF!="NO"</formula>
    </cfRule>
  </conditionalFormatting>
  <conditionalFormatting sqref="F8:F9">
    <cfRule type="expression" dxfId="140" priority="24">
      <formula>$F$2="NO"</formula>
    </cfRule>
  </conditionalFormatting>
  <conditionalFormatting sqref="F10">
    <cfRule type="expression" dxfId="139" priority="22">
      <formula>#REF!="NO"</formula>
    </cfRule>
  </conditionalFormatting>
  <conditionalFormatting sqref="F11:F16">
    <cfRule type="expression" dxfId="138" priority="21">
      <formula>$F$2="NO"</formula>
    </cfRule>
  </conditionalFormatting>
  <conditionalFormatting sqref="F17">
    <cfRule type="expression" dxfId="137" priority="30">
      <formula>#REF!="NO"</formula>
    </cfRule>
  </conditionalFormatting>
  <conditionalFormatting sqref="F21">
    <cfRule type="expression" dxfId="136" priority="19">
      <formula>$F$2="NO"</formula>
    </cfRule>
  </conditionalFormatting>
  <conditionalFormatting sqref="F21:F22">
    <cfRule type="expression" dxfId="135" priority="20">
      <formula>#REF!="NO"</formula>
    </cfRule>
  </conditionalFormatting>
  <conditionalFormatting sqref="F26">
    <cfRule type="expression" dxfId="134" priority="18">
      <formula>$F$2="NO"</formula>
    </cfRule>
  </conditionalFormatting>
  <conditionalFormatting sqref="F27:F35 F40 F43:F44">
    <cfRule type="expression" dxfId="133" priority="29">
      <formula>#REF!="NO"</formula>
    </cfRule>
  </conditionalFormatting>
  <conditionalFormatting sqref="F36:F39">
    <cfRule type="expression" dxfId="132" priority="17">
      <formula>$F$2="NO"</formula>
    </cfRule>
  </conditionalFormatting>
  <conditionalFormatting sqref="F41:F42">
    <cfRule type="expression" dxfId="131" priority="16">
      <formula>$F$2="NO"</formula>
    </cfRule>
  </conditionalFormatting>
  <conditionalFormatting sqref="F45:F59">
    <cfRule type="expression" dxfId="130" priority="14">
      <formula>$F$2="NO"</formula>
    </cfRule>
  </conditionalFormatting>
  <conditionalFormatting sqref="F56">
    <cfRule type="expression" dxfId="129" priority="15">
      <formula>#REF!="NO"</formula>
    </cfRule>
  </conditionalFormatting>
  <conditionalFormatting sqref="F69">
    <cfRule type="expression" dxfId="128" priority="12">
      <formula>$F$2="NO"</formula>
    </cfRule>
  </conditionalFormatting>
  <conditionalFormatting sqref="F71">
    <cfRule type="expression" dxfId="127" priority="11">
      <formula>$F$2="NO"</formula>
    </cfRule>
  </conditionalFormatting>
  <conditionalFormatting sqref="F74">
    <cfRule type="expression" dxfId="126" priority="9">
      <formula>$F$2="NO"</formula>
    </cfRule>
  </conditionalFormatting>
  <conditionalFormatting sqref="F79:F80 F82:F85">
    <cfRule type="expression" dxfId="125" priority="26">
      <formula>#REF!="NO"</formula>
    </cfRule>
  </conditionalFormatting>
  <conditionalFormatting sqref="F81">
    <cfRule type="expression" dxfId="124" priority="3">
      <formula>$F$2="NO"</formula>
    </cfRule>
  </conditionalFormatting>
  <conditionalFormatting sqref="F86">
    <cfRule type="expression" dxfId="123" priority="2">
      <formula>$F$2="NO"</formula>
    </cfRule>
  </conditionalFormatting>
  <conditionalFormatting sqref="F93:F95">
    <cfRule type="expression" dxfId="122" priority="1">
      <formula>$F$2="NO"</formula>
    </cfRule>
  </conditionalFormatting>
  <conditionalFormatting sqref="F100:F103 F108:F115 F118:F123 E125:F125 F127">
    <cfRule type="expression" dxfId="121" priority="25">
      <formula>#REF!="NO"</formula>
    </cfRule>
  </conditionalFormatting>
  <conditionalFormatting sqref="F104:F107">
    <cfRule type="expression" dxfId="120" priority="8">
      <formula>$F$2="NO"</formula>
    </cfRule>
  </conditionalFormatting>
  <conditionalFormatting sqref="F116:F117">
    <cfRule type="expression" dxfId="119" priority="7">
      <formula>$F$2="NO"</formula>
    </cfRule>
  </conditionalFormatting>
  <conditionalFormatting sqref="F124">
    <cfRule type="expression" dxfId="118" priority="6">
      <formula>$F$2="NO"</formula>
    </cfRule>
  </conditionalFormatting>
  <conditionalFormatting sqref="F126">
    <cfRule type="expression" dxfId="117" priority="4">
      <formula>$F$2="NO"</formula>
    </cfRule>
  </conditionalFormatting>
  <dataValidations count="2">
    <dataValidation type="decimal" allowBlank="1" showInputMessage="1" showErrorMessage="1" error="The Additional Options NYS Discount entered must be greater than 0%, or less than or equal to 100%." sqref="F22" xr:uid="{AAABD6D1-57C2-4270-85FB-EBE538307DAE}">
      <formula1>0.01</formula1>
      <formula2>100</formula2>
    </dataValidation>
    <dataValidation type="decimal" allowBlank="1" showInputMessage="1" showErrorMessage="1" error="Invalid Entry - Bidder must enter a value that is greater than $0" sqref="F21" xr:uid="{64D63298-61CC-4743-8FC4-F71379225929}">
      <formula1>0</formula1>
      <formula2>9E+21</formula2>
    </dataValidation>
  </dataValidations>
  <pageMargins left="0.25" right="0.25" top="0.5" bottom="0.25" header="0.3" footer="0.3"/>
  <pageSetup scale="72" fitToHeight="0" orientation="landscape" r:id="rId1"/>
  <rowBreaks count="1" manualBreakCount="1">
    <brk id="96"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6FBAD-339D-4F2D-B589-1DE16CA18319}">
  <sheetPr>
    <tabColor theme="5" tint="0.39997558519241921"/>
    <pageSetUpPr autoPageBreaks="0" fitToPage="1"/>
  </sheetPr>
  <dimension ref="A1:H135"/>
  <sheetViews>
    <sheetView showGridLines="0" zoomScaleNormal="100" zoomScaleSheetLayoutView="100" workbookViewId="0"/>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1.28515625" style="187" customWidth="1"/>
    <col min="7" max="8" width="21.28515625" style="210" customWidth="1"/>
    <col min="9" max="16384" width="9.140625" style="2"/>
  </cols>
  <sheetData>
    <row r="1" spans="1:8" ht="18" customHeight="1" x14ac:dyDescent="0.2">
      <c r="A1" s="165" t="str">
        <f>'A (Item 2-G)'!$A$1</f>
        <v>GROUP 40524-23254, SCHOOL BUSES (Statewide)                                                             Attachment 1 - Specifications and Pricing (Revised October 15, 2026)</v>
      </c>
      <c r="F1" s="210"/>
    </row>
    <row r="2" spans="1:8" s="25" customFormat="1" ht="18" customHeight="1" thickBot="1" x14ac:dyDescent="0.3">
      <c r="A2" s="316" t="str">
        <f>'Attachment 1 - Summary'!B2</f>
        <v>PC69864 New York Bus Sales, LLC</v>
      </c>
      <c r="B2" s="26"/>
      <c r="C2" s="26"/>
      <c r="D2" s="26"/>
      <c r="E2" s="26"/>
      <c r="F2" s="314"/>
      <c r="G2" s="316"/>
      <c r="H2" s="314"/>
    </row>
    <row r="3" spans="1:8" ht="24" thickBot="1" x14ac:dyDescent="0.25">
      <c r="A3" s="420" t="s">
        <v>272</v>
      </c>
      <c r="B3" s="421"/>
      <c r="C3" s="421"/>
      <c r="D3" s="422"/>
      <c r="E3" s="9"/>
      <c r="F3" s="312"/>
      <c r="H3" s="312"/>
    </row>
    <row r="4" spans="1:8" ht="51" customHeight="1" thickBot="1" x14ac:dyDescent="0.25">
      <c r="A4" s="343" t="s">
        <v>271</v>
      </c>
      <c r="B4" s="344"/>
      <c r="C4" s="344"/>
      <c r="D4" s="345"/>
      <c r="E4" s="9"/>
      <c r="F4" s="312"/>
      <c r="H4" s="312"/>
    </row>
    <row r="5" spans="1:8" s="4" customFormat="1" ht="11.25" customHeight="1" thickBot="1" x14ac:dyDescent="0.3">
      <c r="A5" s="57"/>
      <c r="B5" s="57"/>
      <c r="C5" s="57"/>
      <c r="D5" s="57"/>
      <c r="E5" s="57"/>
      <c r="F5" s="313"/>
      <c r="G5" s="224"/>
      <c r="H5" s="224"/>
    </row>
    <row r="6" spans="1:8" s="8" customFormat="1" ht="16.5" thickBot="1" x14ac:dyDescent="0.25">
      <c r="A6" s="346" t="s">
        <v>151</v>
      </c>
      <c r="B6" s="347"/>
      <c r="C6" s="347"/>
      <c r="D6" s="348"/>
      <c r="E6" s="36"/>
      <c r="F6" s="417" t="s">
        <v>420</v>
      </c>
      <c r="G6" s="418"/>
      <c r="H6" s="419"/>
    </row>
    <row r="7" spans="1:8" s="4" customFormat="1" ht="15" customHeight="1" thickBot="1" x14ac:dyDescent="0.3">
      <c r="A7" s="41" t="s">
        <v>6</v>
      </c>
      <c r="B7" s="27" t="s">
        <v>165</v>
      </c>
      <c r="C7" s="32"/>
      <c r="D7" s="40"/>
      <c r="E7" s="37"/>
      <c r="F7" s="216" t="s">
        <v>19</v>
      </c>
      <c r="G7" s="217" t="s">
        <v>248</v>
      </c>
      <c r="H7" s="218" t="s">
        <v>269</v>
      </c>
    </row>
    <row r="8" spans="1:8" ht="65.25" thickTop="1" thickBot="1" x14ac:dyDescent="0.25">
      <c r="A8" s="42" t="s">
        <v>9</v>
      </c>
      <c r="B8" s="337" t="s">
        <v>152</v>
      </c>
      <c r="C8" s="338"/>
      <c r="D8" s="339"/>
      <c r="E8" s="13"/>
      <c r="F8" s="240" t="s">
        <v>419</v>
      </c>
      <c r="G8" s="241" t="s">
        <v>416</v>
      </c>
      <c r="H8" s="242" t="s">
        <v>416</v>
      </c>
    </row>
    <row r="9" spans="1:8" s="8" customFormat="1" ht="44.25" customHeight="1" thickTop="1" thickBot="1" x14ac:dyDescent="0.25">
      <c r="A9" s="42" t="s">
        <v>136</v>
      </c>
      <c r="B9" s="337" t="s">
        <v>191</v>
      </c>
      <c r="C9" s="338"/>
      <c r="D9" s="339"/>
      <c r="E9" s="13"/>
      <c r="F9" s="243" t="s">
        <v>463</v>
      </c>
      <c r="G9" s="244" t="s">
        <v>463</v>
      </c>
      <c r="H9" s="245" t="s">
        <v>463</v>
      </c>
    </row>
    <row r="10" spans="1:8" ht="12.75" customHeight="1" thickTop="1" x14ac:dyDescent="0.2">
      <c r="A10" s="43" t="s">
        <v>0</v>
      </c>
      <c r="B10" s="328" t="s">
        <v>154</v>
      </c>
      <c r="C10" s="329"/>
      <c r="D10" s="330"/>
      <c r="E10" s="13"/>
      <c r="F10" s="246" t="s">
        <v>420</v>
      </c>
      <c r="G10" s="247" t="s">
        <v>420</v>
      </c>
      <c r="H10" s="248" t="s">
        <v>420</v>
      </c>
    </row>
    <row r="11" spans="1:8" x14ac:dyDescent="0.2">
      <c r="A11" s="43" t="s">
        <v>1</v>
      </c>
      <c r="B11" s="328" t="s">
        <v>153</v>
      </c>
      <c r="C11" s="329"/>
      <c r="D11" s="330"/>
      <c r="E11" s="13"/>
      <c r="F11" s="246" t="s">
        <v>421</v>
      </c>
      <c r="G11" s="247" t="s">
        <v>421</v>
      </c>
      <c r="H11" s="248" t="s">
        <v>421</v>
      </c>
    </row>
    <row r="12" spans="1:8" ht="14.1" customHeight="1" thickBot="1" x14ac:dyDescent="0.25">
      <c r="A12" s="44" t="s">
        <v>2</v>
      </c>
      <c r="B12" s="331" t="s">
        <v>155</v>
      </c>
      <c r="C12" s="332"/>
      <c r="D12" s="333"/>
      <c r="E12" s="13"/>
      <c r="F12" s="249">
        <v>3011</v>
      </c>
      <c r="G12" s="250">
        <v>3011</v>
      </c>
      <c r="H12" s="251">
        <v>3011</v>
      </c>
    </row>
    <row r="13" spans="1:8" ht="13.5" thickTop="1" x14ac:dyDescent="0.2">
      <c r="A13" s="43" t="s">
        <v>3</v>
      </c>
      <c r="B13" s="328" t="s">
        <v>157</v>
      </c>
      <c r="C13" s="329"/>
      <c r="D13" s="330"/>
      <c r="E13" s="13"/>
      <c r="F13" s="246" t="s">
        <v>420</v>
      </c>
      <c r="G13" s="247" t="s">
        <v>420</v>
      </c>
      <c r="H13" s="248" t="s">
        <v>420</v>
      </c>
    </row>
    <row r="14" spans="1:8" x14ac:dyDescent="0.2">
      <c r="A14" s="43" t="s">
        <v>4</v>
      </c>
      <c r="B14" s="328" t="s">
        <v>156</v>
      </c>
      <c r="C14" s="329"/>
      <c r="D14" s="330"/>
      <c r="E14" s="13"/>
      <c r="F14" s="246" t="s">
        <v>422</v>
      </c>
      <c r="G14" s="247" t="s">
        <v>422</v>
      </c>
      <c r="H14" s="248" t="s">
        <v>422</v>
      </c>
    </row>
    <row r="15" spans="1:8" ht="15.75" customHeight="1" thickBot="1" x14ac:dyDescent="0.25">
      <c r="A15" s="45" t="s">
        <v>5</v>
      </c>
      <c r="B15" s="331" t="s">
        <v>158</v>
      </c>
      <c r="C15" s="332"/>
      <c r="D15" s="333"/>
      <c r="E15" s="13"/>
      <c r="F15" s="240">
        <v>3011</v>
      </c>
      <c r="G15" s="250">
        <v>3011</v>
      </c>
      <c r="H15" s="251">
        <v>3011</v>
      </c>
    </row>
    <row r="16" spans="1:8" ht="29.25" customHeight="1" thickTop="1" x14ac:dyDescent="0.2">
      <c r="A16" s="43" t="s">
        <v>101</v>
      </c>
      <c r="B16" s="334" t="s">
        <v>160</v>
      </c>
      <c r="C16" s="335"/>
      <c r="D16" s="336"/>
      <c r="E16" s="13"/>
      <c r="F16" s="252">
        <v>100</v>
      </c>
      <c r="G16" s="253">
        <v>100</v>
      </c>
      <c r="H16" s="254">
        <v>100</v>
      </c>
    </row>
    <row r="17" spans="1:8" ht="30.75" customHeight="1" thickBot="1" x14ac:dyDescent="0.25">
      <c r="A17" s="45" t="s">
        <v>43</v>
      </c>
      <c r="B17" s="331" t="s">
        <v>159</v>
      </c>
      <c r="C17" s="332"/>
      <c r="D17" s="333"/>
      <c r="E17" s="13"/>
      <c r="F17" s="240" t="s">
        <v>334</v>
      </c>
      <c r="G17" s="241" t="s">
        <v>334</v>
      </c>
      <c r="H17" s="242" t="s">
        <v>334</v>
      </c>
    </row>
    <row r="18" spans="1:8" s="10" customFormat="1" ht="14.25" thickTop="1" thickBot="1" x14ac:dyDescent="0.25">
      <c r="C18" s="11"/>
      <c r="D18" s="11"/>
      <c r="E18" s="11"/>
      <c r="F18" s="175"/>
      <c r="G18" s="175"/>
      <c r="H18" s="175"/>
    </row>
    <row r="19" spans="1:8" s="12" customFormat="1" ht="16.5" thickBot="1" x14ac:dyDescent="0.25">
      <c r="A19" s="346" t="s">
        <v>150</v>
      </c>
      <c r="B19" s="347"/>
      <c r="C19" s="347"/>
      <c r="D19" s="348"/>
      <c r="E19" s="36"/>
      <c r="F19" s="417" t="s">
        <v>420</v>
      </c>
      <c r="G19" s="418"/>
      <c r="H19" s="419"/>
    </row>
    <row r="20" spans="1:8" s="4" customFormat="1" ht="15" customHeight="1" thickBot="1" x14ac:dyDescent="0.3">
      <c r="A20" s="55" t="s">
        <v>6</v>
      </c>
      <c r="B20" s="31" t="s">
        <v>165</v>
      </c>
      <c r="C20" s="33"/>
      <c r="D20" s="48"/>
      <c r="E20" s="37"/>
      <c r="F20" s="216" t="s">
        <v>19</v>
      </c>
      <c r="G20" s="217" t="s">
        <v>248</v>
      </c>
      <c r="H20" s="218" t="s">
        <v>269</v>
      </c>
    </row>
    <row r="21" spans="1:8" ht="56.25" customHeight="1" x14ac:dyDescent="0.2">
      <c r="A21" s="46" t="s">
        <v>42</v>
      </c>
      <c r="B21" s="349" t="s">
        <v>161</v>
      </c>
      <c r="C21" s="350"/>
      <c r="D21" s="351"/>
      <c r="E21" s="13"/>
      <c r="F21" s="255">
        <f>135300*('PPI Adj'!D6)</f>
        <v>157895.1</v>
      </c>
      <c r="G21" s="256">
        <f>132300*('PPI Adj'!D6)</f>
        <v>154394.1</v>
      </c>
      <c r="H21" s="257">
        <f>142300*('PPI Adj'!D6)</f>
        <v>166064.1</v>
      </c>
    </row>
    <row r="22" spans="1:8" ht="33" customHeight="1" thickBot="1" x14ac:dyDescent="0.25">
      <c r="A22" s="47" t="s">
        <v>41</v>
      </c>
      <c r="B22" s="370" t="s">
        <v>163</v>
      </c>
      <c r="C22" s="371"/>
      <c r="D22" s="372"/>
      <c r="E22" s="1"/>
      <c r="F22" s="258">
        <v>22</v>
      </c>
      <c r="G22" s="259">
        <v>22</v>
      </c>
      <c r="H22" s="260">
        <v>22</v>
      </c>
    </row>
    <row r="23" spans="1:8" ht="13.5" thickBot="1" x14ac:dyDescent="0.25">
      <c r="A23" s="58"/>
      <c r="B23" s="1"/>
      <c r="C23" s="1"/>
      <c r="D23" s="1"/>
      <c r="E23" s="1"/>
      <c r="F23" s="180"/>
      <c r="H23" s="205"/>
    </row>
    <row r="24" spans="1:8" s="8" customFormat="1" ht="15.75" customHeight="1" thickBot="1" x14ac:dyDescent="0.25">
      <c r="A24" s="373" t="s">
        <v>164</v>
      </c>
      <c r="B24" s="374"/>
      <c r="C24" s="374"/>
      <c r="D24" s="375"/>
      <c r="E24" s="38"/>
      <c r="F24" s="417" t="s">
        <v>420</v>
      </c>
      <c r="G24" s="418"/>
      <c r="H24" s="419"/>
    </row>
    <row r="25" spans="1:8" s="3" customFormat="1" ht="15" customHeight="1" thickBot="1" x14ac:dyDescent="0.3">
      <c r="A25" s="55" t="s">
        <v>6</v>
      </c>
      <c r="B25" s="56" t="s">
        <v>7</v>
      </c>
      <c r="C25" s="376" t="s">
        <v>165</v>
      </c>
      <c r="D25" s="377"/>
      <c r="E25" s="39"/>
      <c r="F25" s="216" t="s">
        <v>19</v>
      </c>
      <c r="G25" s="217" t="s">
        <v>248</v>
      </c>
      <c r="H25" s="218" t="s">
        <v>269</v>
      </c>
    </row>
    <row r="26" spans="1:8" s="13" customFormat="1" ht="79.5" customHeight="1" thickBot="1" x14ac:dyDescent="0.3">
      <c r="A26" s="49" t="s">
        <v>8</v>
      </c>
      <c r="B26" s="29" t="s">
        <v>259</v>
      </c>
      <c r="C26" s="352" t="s">
        <v>118</v>
      </c>
      <c r="D26" s="353"/>
      <c r="E26" s="34"/>
      <c r="F26" s="261">
        <v>31000</v>
      </c>
      <c r="G26" s="262">
        <v>31000</v>
      </c>
      <c r="H26" s="263">
        <v>31000</v>
      </c>
    </row>
    <row r="27" spans="1:8" s="13" customFormat="1" x14ac:dyDescent="0.25">
      <c r="A27" s="354" t="s">
        <v>21</v>
      </c>
      <c r="B27" s="356" t="s">
        <v>270</v>
      </c>
      <c r="C27" s="358" t="s">
        <v>67</v>
      </c>
      <c r="D27" s="359"/>
      <c r="E27" s="34"/>
      <c r="F27" s="264">
        <v>11</v>
      </c>
      <c r="G27" s="265">
        <v>11</v>
      </c>
      <c r="H27" s="266">
        <v>11</v>
      </c>
    </row>
    <row r="28" spans="1:8" s="13" customFormat="1" ht="13.5" thickBot="1" x14ac:dyDescent="0.3">
      <c r="A28" s="355"/>
      <c r="B28" s="357"/>
      <c r="C28" s="352" t="s">
        <v>68</v>
      </c>
      <c r="D28" s="353"/>
      <c r="E28" s="34"/>
      <c r="F28" s="261">
        <v>65</v>
      </c>
      <c r="G28" s="262">
        <v>65</v>
      </c>
      <c r="H28" s="263">
        <v>65</v>
      </c>
    </row>
    <row r="29" spans="1:8" s="13" customFormat="1" ht="13.5" thickBot="1" x14ac:dyDescent="0.3">
      <c r="A29" s="50" t="s">
        <v>123</v>
      </c>
      <c r="B29" s="30" t="s">
        <v>108</v>
      </c>
      <c r="C29" s="368"/>
      <c r="D29" s="369"/>
      <c r="E29" s="35"/>
      <c r="F29" s="267" t="s">
        <v>367</v>
      </c>
      <c r="G29" s="268" t="s">
        <v>367</v>
      </c>
      <c r="H29" s="269" t="s">
        <v>367</v>
      </c>
    </row>
    <row r="30" spans="1:8" s="13" customFormat="1" x14ac:dyDescent="0.25">
      <c r="A30" s="354" t="s">
        <v>59</v>
      </c>
      <c r="B30" s="356"/>
      <c r="C30" s="358" t="s">
        <v>58</v>
      </c>
      <c r="D30" s="359"/>
      <c r="E30" s="34"/>
      <c r="F30" s="264">
        <v>252</v>
      </c>
      <c r="G30" s="265">
        <v>252</v>
      </c>
      <c r="H30" s="266">
        <v>252</v>
      </c>
    </row>
    <row r="31" spans="1:8" s="13" customFormat="1" x14ac:dyDescent="0.25">
      <c r="A31" s="362"/>
      <c r="B31" s="363"/>
      <c r="C31" s="364" t="s">
        <v>57</v>
      </c>
      <c r="D31" s="365"/>
      <c r="E31" s="34"/>
      <c r="F31" s="246">
        <v>442.29</v>
      </c>
      <c r="G31" s="247">
        <v>442.29</v>
      </c>
      <c r="H31" s="248">
        <v>442.29</v>
      </c>
    </row>
    <row r="32" spans="1:8" s="13" customFormat="1" x14ac:dyDescent="0.25">
      <c r="A32" s="362"/>
      <c r="B32" s="363"/>
      <c r="C32" s="364" t="s">
        <v>69</v>
      </c>
      <c r="D32" s="365"/>
      <c r="E32" s="34"/>
      <c r="F32" s="246">
        <v>90.75</v>
      </c>
      <c r="G32" s="247">
        <v>90.75</v>
      </c>
      <c r="H32" s="248">
        <v>90.75</v>
      </c>
    </row>
    <row r="33" spans="1:8" s="13" customFormat="1" x14ac:dyDescent="0.25">
      <c r="A33" s="362"/>
      <c r="B33" s="363"/>
      <c r="C33" s="366" t="s">
        <v>70</v>
      </c>
      <c r="D33" s="367"/>
      <c r="E33" s="34"/>
      <c r="F33" s="246">
        <v>77</v>
      </c>
      <c r="G33" s="247">
        <v>77</v>
      </c>
      <c r="H33" s="248">
        <v>77</v>
      </c>
    </row>
    <row r="34" spans="1:8" s="13" customFormat="1" ht="13.5" thickBot="1" x14ac:dyDescent="0.3">
      <c r="A34" s="355"/>
      <c r="B34" s="357"/>
      <c r="C34" s="352" t="s">
        <v>111</v>
      </c>
      <c r="D34" s="353"/>
      <c r="E34" s="34"/>
      <c r="F34" s="261">
        <v>296.75</v>
      </c>
      <c r="G34" s="262">
        <v>296.75</v>
      </c>
      <c r="H34" s="263">
        <v>296.75</v>
      </c>
    </row>
    <row r="35" spans="1:8" s="13" customFormat="1" ht="15.95" customHeight="1" thickBot="1" x14ac:dyDescent="0.3">
      <c r="A35" s="49" t="s">
        <v>224</v>
      </c>
      <c r="B35" s="30" t="s">
        <v>223</v>
      </c>
      <c r="C35" s="368"/>
      <c r="D35" s="369"/>
      <c r="E35" s="35"/>
      <c r="F35" s="267"/>
      <c r="G35" s="268"/>
      <c r="H35" s="269"/>
    </row>
    <row r="36" spans="1:8" s="13" customFormat="1" x14ac:dyDescent="0.25">
      <c r="A36" s="354" t="s">
        <v>11</v>
      </c>
      <c r="B36" s="356"/>
      <c r="C36" s="358" t="s">
        <v>24</v>
      </c>
      <c r="D36" s="359"/>
      <c r="E36" s="34"/>
      <c r="F36" s="264">
        <v>12000</v>
      </c>
      <c r="G36" s="265">
        <v>12000</v>
      </c>
      <c r="H36" s="266">
        <v>12000</v>
      </c>
    </row>
    <row r="37" spans="1:8" s="13" customFormat="1" ht="13.5" thickBot="1" x14ac:dyDescent="0.3">
      <c r="A37" s="355"/>
      <c r="B37" s="357"/>
      <c r="C37" s="352" t="s">
        <v>22</v>
      </c>
      <c r="D37" s="353"/>
      <c r="E37" s="34"/>
      <c r="F37" s="261">
        <v>12000</v>
      </c>
      <c r="G37" s="262">
        <v>12000</v>
      </c>
      <c r="H37" s="263">
        <v>12000</v>
      </c>
    </row>
    <row r="38" spans="1:8" s="13" customFormat="1" x14ac:dyDescent="0.25">
      <c r="A38" s="354" t="s">
        <v>16</v>
      </c>
      <c r="B38" s="356"/>
      <c r="C38" s="358" t="s">
        <v>24</v>
      </c>
      <c r="D38" s="359"/>
      <c r="E38" s="34"/>
      <c r="F38" s="264">
        <v>21000</v>
      </c>
      <c r="G38" s="265">
        <v>21000</v>
      </c>
      <c r="H38" s="266">
        <v>21000</v>
      </c>
    </row>
    <row r="39" spans="1:8" s="13" customFormat="1" ht="13.5" thickBot="1" x14ac:dyDescent="0.3">
      <c r="A39" s="355"/>
      <c r="B39" s="357"/>
      <c r="C39" s="360" t="s">
        <v>23</v>
      </c>
      <c r="D39" s="361"/>
      <c r="E39" s="34"/>
      <c r="F39" s="261">
        <v>21000</v>
      </c>
      <c r="G39" s="262">
        <v>21000</v>
      </c>
      <c r="H39" s="263">
        <v>21000</v>
      </c>
    </row>
    <row r="40" spans="1:8" s="13" customFormat="1" ht="18.600000000000001" customHeight="1" thickBot="1" x14ac:dyDescent="0.3">
      <c r="A40" s="50" t="s">
        <v>52</v>
      </c>
      <c r="B40" s="30" t="s">
        <v>53</v>
      </c>
      <c r="C40" s="368"/>
      <c r="D40" s="369"/>
      <c r="E40" s="35"/>
      <c r="F40" s="267"/>
      <c r="G40" s="268"/>
      <c r="H40" s="269"/>
    </row>
    <row r="41" spans="1:8" s="13" customFormat="1" x14ac:dyDescent="0.25">
      <c r="A41" s="354" t="s">
        <v>219</v>
      </c>
      <c r="B41" s="356" t="s">
        <v>222</v>
      </c>
      <c r="C41" s="358" t="s">
        <v>221</v>
      </c>
      <c r="D41" s="359"/>
      <c r="E41" s="34"/>
      <c r="F41" s="264" t="s">
        <v>257</v>
      </c>
      <c r="G41" s="265" t="s">
        <v>257</v>
      </c>
      <c r="H41" s="266" t="s">
        <v>257</v>
      </c>
    </row>
    <row r="42" spans="1:8" s="13" customFormat="1" ht="14.45" customHeight="1" x14ac:dyDescent="0.25">
      <c r="A42" s="362"/>
      <c r="B42" s="363"/>
      <c r="C42" s="364" t="s">
        <v>220</v>
      </c>
      <c r="D42" s="365"/>
      <c r="E42" s="34"/>
      <c r="F42" s="246" t="s">
        <v>425</v>
      </c>
      <c r="G42" s="247" t="s">
        <v>425</v>
      </c>
      <c r="H42" s="248" t="s">
        <v>425</v>
      </c>
    </row>
    <row r="43" spans="1:8" s="13" customFormat="1" ht="78.599999999999994" customHeight="1" thickBot="1" x14ac:dyDescent="0.3">
      <c r="A43" s="355"/>
      <c r="B43" s="363"/>
      <c r="C43" s="360"/>
      <c r="D43" s="361"/>
      <c r="E43" s="34"/>
      <c r="F43" s="270"/>
      <c r="G43" s="271"/>
      <c r="H43" s="263"/>
    </row>
    <row r="44" spans="1:8" s="13" customFormat="1" ht="27.95" customHeight="1" thickBot="1" x14ac:dyDescent="0.3">
      <c r="A44" s="49" t="s">
        <v>219</v>
      </c>
      <c r="B44" s="30" t="s">
        <v>218</v>
      </c>
      <c r="C44" s="368"/>
      <c r="D44" s="369"/>
      <c r="E44" s="35"/>
      <c r="F44" s="267"/>
      <c r="G44" s="268"/>
      <c r="H44" s="269"/>
    </row>
    <row r="45" spans="1:8" s="13" customFormat="1" ht="13.5" thickBot="1" x14ac:dyDescent="0.3">
      <c r="A45" s="354" t="s">
        <v>12</v>
      </c>
      <c r="B45" s="379" t="s">
        <v>142</v>
      </c>
      <c r="C45" s="358" t="s">
        <v>174</v>
      </c>
      <c r="D45" s="359"/>
      <c r="E45" s="34"/>
      <c r="F45" s="264" t="s">
        <v>278</v>
      </c>
      <c r="G45" s="265" t="s">
        <v>278</v>
      </c>
      <c r="H45" s="266" t="s">
        <v>278</v>
      </c>
    </row>
    <row r="46" spans="1:8" s="13" customFormat="1" ht="13.5" thickBot="1" x14ac:dyDescent="0.3">
      <c r="A46" s="362"/>
      <c r="B46" s="379"/>
      <c r="C46" s="364" t="s">
        <v>175</v>
      </c>
      <c r="D46" s="365"/>
      <c r="E46" s="34"/>
      <c r="F46" s="246">
        <v>6610</v>
      </c>
      <c r="G46" s="247">
        <v>6610</v>
      </c>
      <c r="H46" s="248">
        <v>6610</v>
      </c>
    </row>
    <row r="47" spans="1:8" s="13" customFormat="1" ht="13.5" thickBot="1" x14ac:dyDescent="0.3">
      <c r="A47" s="362"/>
      <c r="B47" s="379"/>
      <c r="C47" s="364" t="s">
        <v>176</v>
      </c>
      <c r="D47" s="365"/>
      <c r="E47" s="34"/>
      <c r="F47" s="272" t="s">
        <v>278</v>
      </c>
      <c r="G47" s="273" t="s">
        <v>278</v>
      </c>
      <c r="H47" s="274" t="s">
        <v>278</v>
      </c>
    </row>
    <row r="48" spans="1:8" s="13" customFormat="1" ht="13.5" thickBot="1" x14ac:dyDescent="0.3">
      <c r="A48" s="362"/>
      <c r="B48" s="379"/>
      <c r="C48" s="364" t="s">
        <v>177</v>
      </c>
      <c r="D48" s="365"/>
      <c r="E48" s="34"/>
      <c r="F48" s="246">
        <v>6005</v>
      </c>
      <c r="G48" s="247">
        <v>6005</v>
      </c>
      <c r="H48" s="248">
        <v>6005</v>
      </c>
    </row>
    <row r="49" spans="1:8" s="13" customFormat="1" ht="13.5" thickBot="1" x14ac:dyDescent="0.3">
      <c r="A49" s="362"/>
      <c r="B49" s="379"/>
      <c r="C49" s="364" t="s">
        <v>112</v>
      </c>
      <c r="D49" s="365"/>
      <c r="E49" s="34"/>
      <c r="F49" s="246" t="s">
        <v>426</v>
      </c>
      <c r="G49" s="247" t="s">
        <v>426</v>
      </c>
      <c r="H49" s="248" t="s">
        <v>426</v>
      </c>
    </row>
    <row r="50" spans="1:8" s="13" customFormat="1" ht="13.5" thickBot="1" x14ac:dyDescent="0.3">
      <c r="A50" s="362"/>
      <c r="B50" s="379"/>
      <c r="C50" s="364" t="s">
        <v>113</v>
      </c>
      <c r="D50" s="365"/>
      <c r="E50" s="34"/>
      <c r="F50" s="246" t="s">
        <v>427</v>
      </c>
      <c r="G50" s="247" t="s">
        <v>427</v>
      </c>
      <c r="H50" s="248" t="s">
        <v>427</v>
      </c>
    </row>
    <row r="51" spans="1:8" s="13" customFormat="1" ht="13.5" thickBot="1" x14ac:dyDescent="0.3">
      <c r="A51" s="362"/>
      <c r="B51" s="379"/>
      <c r="C51" s="366" t="s">
        <v>114</v>
      </c>
      <c r="D51" s="367"/>
      <c r="E51" s="34"/>
      <c r="F51" s="246" t="s">
        <v>426</v>
      </c>
      <c r="G51" s="247" t="s">
        <v>426</v>
      </c>
      <c r="H51" s="248" t="s">
        <v>426</v>
      </c>
    </row>
    <row r="52" spans="1:8" s="13" customFormat="1" ht="15.95" customHeight="1" thickBot="1" x14ac:dyDescent="0.3">
      <c r="A52" s="355"/>
      <c r="B52" s="379"/>
      <c r="C52" s="352" t="s">
        <v>115</v>
      </c>
      <c r="D52" s="353"/>
      <c r="E52" s="34"/>
      <c r="F52" s="261" t="s">
        <v>427</v>
      </c>
      <c r="G52" s="262" t="s">
        <v>427</v>
      </c>
      <c r="H52" s="263" t="s">
        <v>427</v>
      </c>
    </row>
    <row r="53" spans="1:8" s="13" customFormat="1" x14ac:dyDescent="0.25">
      <c r="A53" s="354" t="s">
        <v>10</v>
      </c>
      <c r="B53" s="356" t="s">
        <v>217</v>
      </c>
      <c r="C53" s="358" t="s">
        <v>116</v>
      </c>
      <c r="D53" s="359"/>
      <c r="E53" s="34"/>
      <c r="F53" s="264">
        <v>5</v>
      </c>
      <c r="G53" s="265">
        <v>5</v>
      </c>
      <c r="H53" s="266">
        <v>5</v>
      </c>
    </row>
    <row r="54" spans="1:8" s="13" customFormat="1" x14ac:dyDescent="0.25">
      <c r="A54" s="362"/>
      <c r="B54" s="363"/>
      <c r="C54" s="364" t="s">
        <v>117</v>
      </c>
      <c r="D54" s="365"/>
      <c r="E54" s="34"/>
      <c r="F54" s="246" t="s">
        <v>197</v>
      </c>
      <c r="G54" s="247" t="s">
        <v>197</v>
      </c>
      <c r="H54" s="248" t="s">
        <v>197</v>
      </c>
    </row>
    <row r="55" spans="1:8" s="13" customFormat="1" ht="13.5" thickBot="1" x14ac:dyDescent="0.3">
      <c r="A55" s="355"/>
      <c r="B55" s="363"/>
      <c r="C55" s="360" t="s">
        <v>71</v>
      </c>
      <c r="D55" s="361"/>
      <c r="E55" s="34"/>
      <c r="F55" s="270" t="s">
        <v>428</v>
      </c>
      <c r="G55" s="275" t="s">
        <v>428</v>
      </c>
      <c r="H55" s="276" t="s">
        <v>428</v>
      </c>
    </row>
    <row r="56" spans="1:8" s="13" customFormat="1" ht="78.599999999999994" customHeight="1" thickBot="1" x14ac:dyDescent="0.3">
      <c r="A56" s="51" t="s">
        <v>9</v>
      </c>
      <c r="B56" s="28" t="s">
        <v>256</v>
      </c>
      <c r="C56" s="366"/>
      <c r="D56" s="367"/>
      <c r="E56" s="34"/>
      <c r="F56" s="264"/>
      <c r="G56" s="268"/>
      <c r="H56" s="266"/>
    </row>
    <row r="57" spans="1:8" s="13" customFormat="1" ht="29.45" customHeight="1" thickBot="1" x14ac:dyDescent="0.3">
      <c r="A57" s="51" t="s">
        <v>255</v>
      </c>
      <c r="B57" s="28" t="s">
        <v>254</v>
      </c>
      <c r="C57" s="368"/>
      <c r="D57" s="369"/>
      <c r="E57" s="35"/>
      <c r="F57" s="277" t="s">
        <v>429</v>
      </c>
      <c r="G57" s="268" t="s">
        <v>429</v>
      </c>
      <c r="H57" s="269" t="s">
        <v>429</v>
      </c>
    </row>
    <row r="58" spans="1:8" s="13" customFormat="1" x14ac:dyDescent="0.25">
      <c r="A58" s="354" t="s">
        <v>25</v>
      </c>
      <c r="B58" s="356" t="s">
        <v>93</v>
      </c>
      <c r="C58" s="358" t="s">
        <v>72</v>
      </c>
      <c r="D58" s="359"/>
      <c r="E58" s="34"/>
      <c r="F58" s="264" t="s">
        <v>430</v>
      </c>
      <c r="G58" s="265" t="s">
        <v>430</v>
      </c>
      <c r="H58" s="266" t="s">
        <v>430</v>
      </c>
    </row>
    <row r="59" spans="1:8" s="13" customFormat="1" ht="54" customHeight="1" thickBot="1" x14ac:dyDescent="0.3">
      <c r="A59" s="355"/>
      <c r="B59" s="357"/>
      <c r="C59" s="352" t="s">
        <v>73</v>
      </c>
      <c r="D59" s="353"/>
      <c r="E59" s="34"/>
      <c r="F59" s="261">
        <v>240</v>
      </c>
      <c r="G59" s="262">
        <v>240</v>
      </c>
      <c r="H59" s="263">
        <v>240</v>
      </c>
    </row>
    <row r="60" spans="1:8" s="13" customFormat="1" x14ac:dyDescent="0.25">
      <c r="A60" s="354" t="s">
        <v>26</v>
      </c>
      <c r="B60" s="356" t="s">
        <v>253</v>
      </c>
      <c r="C60" s="358" t="s">
        <v>74</v>
      </c>
      <c r="D60" s="359"/>
      <c r="E60" s="34"/>
      <c r="F60" s="264" t="s">
        <v>431</v>
      </c>
      <c r="G60" s="265" t="s">
        <v>431</v>
      </c>
      <c r="H60" s="266" t="s">
        <v>431</v>
      </c>
    </row>
    <row r="61" spans="1:8" s="13" customFormat="1" x14ac:dyDescent="0.25">
      <c r="A61" s="362"/>
      <c r="B61" s="363"/>
      <c r="C61" s="364" t="s">
        <v>75</v>
      </c>
      <c r="D61" s="365"/>
      <c r="E61" s="34"/>
      <c r="F61" s="246">
        <v>3</v>
      </c>
      <c r="G61" s="247">
        <v>3</v>
      </c>
      <c r="H61" s="248">
        <v>3</v>
      </c>
    </row>
    <row r="62" spans="1:8" s="13" customFormat="1" ht="29.1" customHeight="1" thickBot="1" x14ac:dyDescent="0.3">
      <c r="A62" s="355"/>
      <c r="B62" s="357"/>
      <c r="C62" s="352" t="s">
        <v>252</v>
      </c>
      <c r="D62" s="353"/>
      <c r="E62" s="34"/>
      <c r="F62" s="261">
        <v>700</v>
      </c>
      <c r="G62" s="262">
        <v>700</v>
      </c>
      <c r="H62" s="263">
        <v>700</v>
      </c>
    </row>
    <row r="63" spans="1:8" s="13" customFormat="1" ht="17.45" customHeight="1" thickBot="1" x14ac:dyDescent="0.3">
      <c r="A63" s="50" t="s">
        <v>44</v>
      </c>
      <c r="B63" s="30" t="s">
        <v>45</v>
      </c>
      <c r="C63" s="368"/>
      <c r="D63" s="369"/>
      <c r="E63" s="35"/>
      <c r="F63" s="277"/>
      <c r="G63" s="268"/>
      <c r="H63" s="278"/>
    </row>
    <row r="64" spans="1:8" s="13" customFormat="1" ht="28.5" customHeight="1" thickBot="1" x14ac:dyDescent="0.3">
      <c r="A64" s="50" t="s">
        <v>44</v>
      </c>
      <c r="B64" s="30" t="s">
        <v>63</v>
      </c>
      <c r="C64" s="368"/>
      <c r="D64" s="369"/>
      <c r="E64" s="35"/>
      <c r="F64" s="277"/>
      <c r="G64" s="279"/>
      <c r="H64" s="278"/>
    </row>
    <row r="65" spans="1:8" s="13" customFormat="1" ht="28.5" customHeight="1" thickBot="1" x14ac:dyDescent="0.3">
      <c r="A65" s="50" t="s">
        <v>44</v>
      </c>
      <c r="B65" s="30" t="s">
        <v>64</v>
      </c>
      <c r="C65" s="368"/>
      <c r="D65" s="369"/>
      <c r="E65" s="35"/>
      <c r="F65" s="277"/>
      <c r="G65" s="279"/>
      <c r="H65" s="278"/>
    </row>
    <row r="66" spans="1:8" s="13" customFormat="1" ht="27.95" customHeight="1" thickBot="1" x14ac:dyDescent="0.3">
      <c r="A66" s="50" t="s">
        <v>50</v>
      </c>
      <c r="B66" s="30" t="s">
        <v>216</v>
      </c>
      <c r="C66" s="368"/>
      <c r="D66" s="369"/>
      <c r="E66" s="35"/>
      <c r="F66" s="277"/>
      <c r="G66" s="279"/>
      <c r="H66" s="278"/>
    </row>
    <row r="67" spans="1:8" s="13" customFormat="1" ht="15.6" customHeight="1" thickBot="1" x14ac:dyDescent="0.3">
      <c r="A67" s="50" t="s">
        <v>27</v>
      </c>
      <c r="B67" s="30" t="s">
        <v>215</v>
      </c>
      <c r="C67" s="380" t="s">
        <v>77</v>
      </c>
      <c r="D67" s="381"/>
      <c r="E67" s="34"/>
      <c r="F67" s="267" t="s">
        <v>432</v>
      </c>
      <c r="G67" s="268" t="s">
        <v>432</v>
      </c>
      <c r="H67" s="269" t="s">
        <v>432</v>
      </c>
    </row>
    <row r="68" spans="1:8" s="13" customFormat="1" ht="53.45" customHeight="1" thickBot="1" x14ac:dyDescent="0.3">
      <c r="A68" s="49" t="s">
        <v>214</v>
      </c>
      <c r="B68" s="30" t="s">
        <v>213</v>
      </c>
      <c r="C68" s="380"/>
      <c r="D68" s="381"/>
      <c r="E68" s="34"/>
      <c r="F68" s="267"/>
      <c r="G68" s="268"/>
      <c r="H68" s="269"/>
    </row>
    <row r="69" spans="1:8" s="13" customFormat="1" ht="15" customHeight="1" x14ac:dyDescent="0.25">
      <c r="A69" s="354" t="s">
        <v>28</v>
      </c>
      <c r="B69" s="356" t="s">
        <v>265</v>
      </c>
      <c r="C69" s="425" t="s">
        <v>250</v>
      </c>
      <c r="D69" s="359"/>
      <c r="E69" s="34"/>
      <c r="F69" s="264" t="s">
        <v>455</v>
      </c>
      <c r="G69" s="265" t="s">
        <v>455</v>
      </c>
      <c r="H69" s="266" t="s">
        <v>455</v>
      </c>
    </row>
    <row r="70" spans="1:8" s="13" customFormat="1" ht="26.25" thickBot="1" x14ac:dyDescent="0.3">
      <c r="A70" s="355"/>
      <c r="B70" s="357"/>
      <c r="C70" s="426" t="s">
        <v>249</v>
      </c>
      <c r="D70" s="353"/>
      <c r="E70" s="34"/>
      <c r="F70" s="261" t="s">
        <v>434</v>
      </c>
      <c r="G70" s="262" t="s">
        <v>434</v>
      </c>
      <c r="H70" s="263" t="s">
        <v>434</v>
      </c>
    </row>
    <row r="71" spans="1:8" s="13" customFormat="1" ht="40.5" customHeight="1" thickBot="1" x14ac:dyDescent="0.3">
      <c r="A71" s="50" t="s">
        <v>51</v>
      </c>
      <c r="B71" s="30" t="s">
        <v>212</v>
      </c>
      <c r="C71" s="368"/>
      <c r="D71" s="369"/>
      <c r="E71" s="35"/>
      <c r="F71" s="267"/>
      <c r="G71" s="268"/>
      <c r="H71" s="269"/>
    </row>
    <row r="72" spans="1:8" s="13" customFormat="1" ht="39.6" customHeight="1" thickBot="1" x14ac:dyDescent="0.3">
      <c r="A72" s="50" t="s">
        <v>54</v>
      </c>
      <c r="B72" s="30" t="s">
        <v>80</v>
      </c>
      <c r="C72" s="368"/>
      <c r="D72" s="369"/>
      <c r="E72" s="35"/>
      <c r="F72" s="267"/>
      <c r="G72" s="268"/>
      <c r="H72" s="269"/>
    </row>
    <row r="73" spans="1:8" s="13" customFormat="1" ht="78" customHeight="1" thickBot="1" x14ac:dyDescent="0.3">
      <c r="A73" s="50" t="s">
        <v>29</v>
      </c>
      <c r="B73" s="30" t="s">
        <v>211</v>
      </c>
      <c r="C73" s="368"/>
      <c r="D73" s="369"/>
      <c r="E73" s="35"/>
      <c r="F73" s="267"/>
      <c r="G73" s="268"/>
      <c r="H73" s="269"/>
    </row>
    <row r="74" spans="1:8" s="13" customFormat="1" ht="54.6" customHeight="1" thickBot="1" x14ac:dyDescent="0.3">
      <c r="A74" s="50" t="s">
        <v>31</v>
      </c>
      <c r="B74" s="30" t="s">
        <v>210</v>
      </c>
      <c r="C74" s="380" t="s">
        <v>30</v>
      </c>
      <c r="D74" s="381"/>
      <c r="E74" s="34"/>
      <c r="F74" s="267" t="s">
        <v>435</v>
      </c>
      <c r="G74" s="268" t="s">
        <v>435</v>
      </c>
      <c r="H74" s="269" t="s">
        <v>435</v>
      </c>
    </row>
    <row r="75" spans="1:8" s="13" customFormat="1" ht="30.95" customHeight="1" thickBot="1" x14ac:dyDescent="0.3">
      <c r="A75" s="50" t="s">
        <v>55</v>
      </c>
      <c r="B75" s="30" t="s">
        <v>95</v>
      </c>
      <c r="C75" s="368"/>
      <c r="D75" s="369"/>
      <c r="E75" s="35"/>
      <c r="F75" s="267"/>
      <c r="G75" s="268"/>
      <c r="H75" s="269"/>
    </row>
    <row r="76" spans="1:8" s="13" customFormat="1" ht="28.5" customHeight="1" thickBot="1" x14ac:dyDescent="0.3">
      <c r="A76" s="50" t="s">
        <v>32</v>
      </c>
      <c r="B76" s="30" t="s">
        <v>96</v>
      </c>
      <c r="C76" s="380" t="s">
        <v>30</v>
      </c>
      <c r="D76" s="381"/>
      <c r="E76" s="34"/>
      <c r="F76" s="267" t="s">
        <v>436</v>
      </c>
      <c r="G76" s="268" t="s">
        <v>436</v>
      </c>
      <c r="H76" s="269" t="s">
        <v>436</v>
      </c>
    </row>
    <row r="77" spans="1:8" s="13" customFormat="1" ht="39.6" customHeight="1" thickBot="1" x14ac:dyDescent="0.3">
      <c r="A77" s="50" t="s">
        <v>56</v>
      </c>
      <c r="B77" s="30" t="s">
        <v>167</v>
      </c>
      <c r="C77" s="368"/>
      <c r="D77" s="369"/>
      <c r="E77" s="35"/>
      <c r="F77" s="267"/>
      <c r="G77" s="268"/>
      <c r="H77" s="269"/>
    </row>
    <row r="78" spans="1:8" s="13" customFormat="1" ht="27" customHeight="1" thickBot="1" x14ac:dyDescent="0.3">
      <c r="A78" s="50" t="s">
        <v>48</v>
      </c>
      <c r="B78" s="30" t="s">
        <v>47</v>
      </c>
      <c r="C78" s="368"/>
      <c r="D78" s="369"/>
      <c r="E78" s="35"/>
      <c r="F78" s="267"/>
      <c r="G78" s="268"/>
      <c r="H78" s="269"/>
    </row>
    <row r="79" spans="1:8" s="13" customFormat="1" ht="26.25" thickBot="1" x14ac:dyDescent="0.3">
      <c r="A79" s="50" t="s">
        <v>49</v>
      </c>
      <c r="B79" s="30" t="s">
        <v>103</v>
      </c>
      <c r="C79" s="368"/>
      <c r="D79" s="369"/>
      <c r="E79" s="35"/>
      <c r="F79" s="267"/>
      <c r="G79" s="268"/>
      <c r="H79" s="269"/>
    </row>
    <row r="80" spans="1:8" s="13" customFormat="1" ht="26.25" thickBot="1" x14ac:dyDescent="0.3">
      <c r="A80" s="50" t="s">
        <v>46</v>
      </c>
      <c r="B80" s="30" t="s">
        <v>81</v>
      </c>
      <c r="C80" s="368"/>
      <c r="D80" s="369"/>
      <c r="E80" s="35"/>
      <c r="F80" s="267"/>
      <c r="G80" s="268"/>
      <c r="H80" s="269"/>
    </row>
    <row r="81" spans="1:8" ht="13.5" thickBot="1" x14ac:dyDescent="0.25"/>
    <row r="82" spans="1:8" s="17" customFormat="1" ht="18.75" thickBot="1" x14ac:dyDescent="0.3">
      <c r="A82" s="373" t="s">
        <v>168</v>
      </c>
      <c r="B82" s="374"/>
      <c r="C82" s="374"/>
      <c r="D82" s="375"/>
      <c r="E82" s="38"/>
      <c r="F82" s="417" t="s">
        <v>420</v>
      </c>
      <c r="G82" s="418"/>
      <c r="H82" s="419"/>
    </row>
    <row r="83" spans="1:8" s="3" customFormat="1" ht="15" customHeight="1" thickBot="1" x14ac:dyDescent="0.3">
      <c r="A83" s="382" t="s">
        <v>169</v>
      </c>
      <c r="B83" s="383"/>
      <c r="C83" s="383"/>
      <c r="D83" s="384"/>
      <c r="E83" s="39"/>
      <c r="F83" s="216" t="s">
        <v>19</v>
      </c>
      <c r="G83" s="217" t="s">
        <v>248</v>
      </c>
      <c r="H83" s="218" t="s">
        <v>269</v>
      </c>
    </row>
    <row r="84" spans="1:8" s="13" customFormat="1" x14ac:dyDescent="0.25">
      <c r="A84" s="385" t="s">
        <v>83</v>
      </c>
      <c r="B84" s="386"/>
      <c r="C84" s="386"/>
      <c r="D84" s="387"/>
      <c r="E84" s="35"/>
      <c r="F84" s="189">
        <f>-1337.32*('PPI Adj'!D6)</f>
        <v>-1560.6524400000001</v>
      </c>
      <c r="G84" s="189">
        <f>-1337.32*('PPI Adj'!D6)</f>
        <v>-1560.6524400000001</v>
      </c>
      <c r="H84" s="189">
        <f>-1337.32*('PPI Adj'!D6)</f>
        <v>-1560.6524400000001</v>
      </c>
    </row>
    <row r="85" spans="1:8" s="13" customFormat="1" x14ac:dyDescent="0.25">
      <c r="A85" s="388" t="s">
        <v>34</v>
      </c>
      <c r="B85" s="389"/>
      <c r="C85" s="389"/>
      <c r="D85" s="390"/>
      <c r="E85" s="34"/>
      <c r="F85" s="190">
        <f>544.44*('PPI Adj'!D6)</f>
        <v>635.36148000000003</v>
      </c>
      <c r="G85" s="190">
        <f>544.44*('PPI Adj'!D6)</f>
        <v>635.36148000000003</v>
      </c>
      <c r="H85" s="190">
        <f>544.44*('PPI Adj'!D6)</f>
        <v>635.36148000000003</v>
      </c>
    </row>
    <row r="86" spans="1:8" s="13" customFormat="1" x14ac:dyDescent="0.25">
      <c r="A86" s="388" t="s">
        <v>35</v>
      </c>
      <c r="B86" s="389"/>
      <c r="C86" s="389"/>
      <c r="D86" s="390"/>
      <c r="E86" s="35"/>
      <c r="F86" s="190">
        <f>648.18*('PPI Adj'!D6)</f>
        <v>756.42606000000001</v>
      </c>
      <c r="G86" s="190">
        <f>648.18*('PPI Adj'!D6)</f>
        <v>756.42606000000001</v>
      </c>
      <c r="H86" s="190">
        <f>648.18*('PPI Adj'!D6)</f>
        <v>756.42606000000001</v>
      </c>
    </row>
    <row r="87" spans="1:8" s="13" customFormat="1" x14ac:dyDescent="0.25">
      <c r="A87" s="388" t="s">
        <v>36</v>
      </c>
      <c r="B87" s="389"/>
      <c r="C87" s="389"/>
      <c r="D87" s="390"/>
      <c r="E87" s="34"/>
      <c r="F87" s="190">
        <f>1340.82*('PPI Adj'!D6)</f>
        <v>1564.73694</v>
      </c>
      <c r="G87" s="190">
        <f>1340.82*('PPI Adj'!D6)</f>
        <v>1564.73694</v>
      </c>
      <c r="H87" s="190">
        <f>1340.82*('PPI Adj'!D6)</f>
        <v>1564.73694</v>
      </c>
    </row>
    <row r="88" spans="1:8" s="13" customFormat="1" x14ac:dyDescent="0.25">
      <c r="A88" s="388" t="s">
        <v>60</v>
      </c>
      <c r="B88" s="389"/>
      <c r="C88" s="389"/>
      <c r="D88" s="390"/>
      <c r="E88" s="34"/>
      <c r="F88" s="190">
        <f>655.98*('PPI Adj'!D6)</f>
        <v>765.52866000000006</v>
      </c>
      <c r="G88" s="190">
        <f>655.98*('PPI Adj'!D6)</f>
        <v>765.52866000000006</v>
      </c>
      <c r="H88" s="190">
        <f>655.98*('PPI Adj'!D6)</f>
        <v>765.52866000000006</v>
      </c>
    </row>
    <row r="89" spans="1:8" s="13" customFormat="1" x14ac:dyDescent="0.25">
      <c r="A89" s="388" t="s">
        <v>61</v>
      </c>
      <c r="B89" s="389"/>
      <c r="C89" s="389"/>
      <c r="D89" s="390"/>
      <c r="E89" s="34"/>
      <c r="F89" s="190" t="s">
        <v>183</v>
      </c>
      <c r="G89" s="190" t="s">
        <v>183</v>
      </c>
      <c r="H89" s="190" t="s">
        <v>183</v>
      </c>
    </row>
    <row r="90" spans="1:8" s="13" customFormat="1" x14ac:dyDescent="0.25">
      <c r="A90" s="388" t="s">
        <v>86</v>
      </c>
      <c r="B90" s="389"/>
      <c r="C90" s="389"/>
      <c r="D90" s="390"/>
      <c r="E90" s="34"/>
      <c r="F90" s="190">
        <f>1202.76*('PPI Adj'!D6)</f>
        <v>1403.6209200000001</v>
      </c>
      <c r="G90" s="190">
        <f>1202.76*('PPI Adj'!D6)</f>
        <v>1403.6209200000001</v>
      </c>
      <c r="H90" s="190">
        <f>1202.76*('PPI Adj'!D6)</f>
        <v>1403.6209200000001</v>
      </c>
    </row>
    <row r="91" spans="1:8" x14ac:dyDescent="0.2">
      <c r="A91" s="388" t="s">
        <v>85</v>
      </c>
      <c r="B91" s="389"/>
      <c r="C91" s="389"/>
      <c r="D91" s="390"/>
      <c r="E91" s="34"/>
      <c r="F91" s="190">
        <f>5086.97*('PPI Adj'!D6)</f>
        <v>5936.4939900000008</v>
      </c>
      <c r="G91" s="190">
        <f>5086.97*('PPI Adj'!D6)</f>
        <v>5936.4939900000008</v>
      </c>
      <c r="H91" s="190">
        <f>5086.97*('PPI Adj'!D6)</f>
        <v>5936.4939900000008</v>
      </c>
    </row>
    <row r="92" spans="1:8" x14ac:dyDescent="0.2">
      <c r="A92" s="388" t="s">
        <v>13</v>
      </c>
      <c r="B92" s="389"/>
      <c r="C92" s="389"/>
      <c r="D92" s="390"/>
      <c r="E92" s="34"/>
      <c r="F92" s="190">
        <f>6533.28*('PPI Adj'!D6)</f>
        <v>7624.3377600000003</v>
      </c>
      <c r="G92" s="190">
        <f>6533.28*('PPI Adj'!D6)</f>
        <v>7624.3377600000003</v>
      </c>
      <c r="H92" s="190">
        <f>6533.28*('PPI Adj'!D6)</f>
        <v>7624.3377600000003</v>
      </c>
    </row>
    <row r="93" spans="1:8" x14ac:dyDescent="0.2">
      <c r="A93" s="388" t="s">
        <v>37</v>
      </c>
      <c r="B93" s="389"/>
      <c r="C93" s="389"/>
      <c r="D93" s="390"/>
      <c r="E93" s="35"/>
      <c r="F93" s="190">
        <f>97.5*('PPI Adj'!D6)</f>
        <v>113.7825</v>
      </c>
      <c r="G93" s="190">
        <f>97.5*('PPI Adj'!D6)</f>
        <v>113.7825</v>
      </c>
      <c r="H93" s="190">
        <f>97.5*('PPI Adj'!D6)</f>
        <v>113.7825</v>
      </c>
    </row>
    <row r="94" spans="1:8" x14ac:dyDescent="0.2">
      <c r="A94" s="388" t="s">
        <v>38</v>
      </c>
      <c r="B94" s="389"/>
      <c r="C94" s="389"/>
      <c r="D94" s="390"/>
      <c r="E94" s="35"/>
      <c r="F94" s="190">
        <f>397.8*('PPI Adj'!D6)</f>
        <v>464.23260000000005</v>
      </c>
      <c r="G94" s="190">
        <f>397.8*('PPI Adj'!D6)</f>
        <v>464.23260000000005</v>
      </c>
      <c r="H94" s="190">
        <f>397.8*('PPI Adj'!D6)</f>
        <v>464.23260000000005</v>
      </c>
    </row>
    <row r="95" spans="1:8" x14ac:dyDescent="0.2">
      <c r="A95" s="388" t="s">
        <v>201</v>
      </c>
      <c r="B95" s="389"/>
      <c r="C95" s="389"/>
      <c r="D95" s="390"/>
      <c r="E95" s="35"/>
      <c r="F95" s="190" t="s">
        <v>183</v>
      </c>
      <c r="G95" s="190" t="s">
        <v>183</v>
      </c>
      <c r="H95" s="190" t="s">
        <v>183</v>
      </c>
    </row>
    <row r="96" spans="1:8" x14ac:dyDescent="0.2">
      <c r="A96" s="388" t="s">
        <v>39</v>
      </c>
      <c r="B96" s="389"/>
      <c r="C96" s="389"/>
      <c r="D96" s="390"/>
      <c r="E96" s="34"/>
      <c r="F96" s="190">
        <f>723.06*('PPI Adj'!D6)</f>
        <v>843.81101999999998</v>
      </c>
      <c r="G96" s="190">
        <f>723.06*('PPI Adj'!D6)</f>
        <v>843.81101999999998</v>
      </c>
      <c r="H96" s="190">
        <f>723.06*('PPI Adj'!D6)</f>
        <v>843.81101999999998</v>
      </c>
    </row>
    <row r="97" spans="1:8" x14ac:dyDescent="0.2">
      <c r="A97" s="388" t="s">
        <v>88</v>
      </c>
      <c r="B97" s="389"/>
      <c r="C97" s="389"/>
      <c r="D97" s="390"/>
      <c r="E97" s="34"/>
      <c r="F97" s="190">
        <f>3939.22*('PPI Adj'!D6)</f>
        <v>4597.0697399999999</v>
      </c>
      <c r="G97" s="190">
        <f>3939.22*('PPI Adj'!D6)</f>
        <v>4597.0697399999999</v>
      </c>
      <c r="H97" s="190">
        <f>3939.22*('PPI Adj'!D6)</f>
        <v>4597.0697399999999</v>
      </c>
    </row>
    <row r="98" spans="1:8" x14ac:dyDescent="0.2">
      <c r="A98" s="388" t="s">
        <v>40</v>
      </c>
      <c r="B98" s="389"/>
      <c r="C98" s="389"/>
      <c r="D98" s="390"/>
      <c r="E98" s="34"/>
      <c r="F98" s="190">
        <f>578.76*('PPI Adj'!D6)</f>
        <v>675.41291999999999</v>
      </c>
      <c r="G98" s="190">
        <f>578.76*('PPI Adj'!D6)</f>
        <v>675.41291999999999</v>
      </c>
      <c r="H98" s="190">
        <f>578.76*('PPI Adj'!D6)</f>
        <v>675.41291999999999</v>
      </c>
    </row>
    <row r="99" spans="1:8" x14ac:dyDescent="0.2">
      <c r="A99" s="388" t="s">
        <v>14</v>
      </c>
      <c r="B99" s="389"/>
      <c r="C99" s="389"/>
      <c r="D99" s="390"/>
      <c r="E99" s="34"/>
      <c r="F99" s="190">
        <f>7483.25*('PPI Adj'!D6)</f>
        <v>8732.9527500000004</v>
      </c>
      <c r="G99" s="190">
        <f>7483.25*('PPI Adj'!D6)</f>
        <v>8732.9527500000004</v>
      </c>
      <c r="H99" s="190">
        <f>7483.25*('PPI Adj'!D6)</f>
        <v>8732.9527500000004</v>
      </c>
    </row>
    <row r="100" spans="1:8" x14ac:dyDescent="0.2">
      <c r="A100" s="388" t="s">
        <v>91</v>
      </c>
      <c r="B100" s="389"/>
      <c r="C100" s="389"/>
      <c r="D100" s="390"/>
      <c r="E100" s="34"/>
      <c r="F100" s="190">
        <f>1800*('PPI Adj'!D6)</f>
        <v>2100.6</v>
      </c>
      <c r="G100" s="190">
        <f>1800*('PPI Adj'!D6)</f>
        <v>2100.6</v>
      </c>
      <c r="H100" s="190">
        <f>1800*('PPI Adj'!D6)</f>
        <v>2100.6</v>
      </c>
    </row>
    <row r="101" spans="1:8" x14ac:dyDescent="0.2">
      <c r="A101" s="394" t="s">
        <v>275</v>
      </c>
      <c r="B101" s="395"/>
      <c r="C101" s="395"/>
      <c r="D101" s="396"/>
      <c r="E101" s="34"/>
      <c r="F101" s="200">
        <f>-413.21*('PPI Adj'!D6)</f>
        <v>-482.21607</v>
      </c>
      <c r="G101" s="200">
        <f>-413.21*('PPI Adj'!D6)</f>
        <v>-482.21607</v>
      </c>
      <c r="H101" s="200">
        <f>-413.21*('PPI Adj'!D6)</f>
        <v>-482.21607</v>
      </c>
    </row>
    <row r="102" spans="1:8" ht="13.5" customHeight="1" thickBot="1" x14ac:dyDescent="0.25">
      <c r="A102" s="414" t="s">
        <v>92</v>
      </c>
      <c r="B102" s="415"/>
      <c r="C102" s="415"/>
      <c r="D102" s="416"/>
      <c r="E102" s="35"/>
      <c r="F102" s="191">
        <f>1013.03*('PPI Adj'!D6)</f>
        <v>1182.2060100000001</v>
      </c>
      <c r="G102" s="191">
        <f>1013.03*('PPI Adj'!D6)</f>
        <v>1182.2060100000001</v>
      </c>
      <c r="H102" s="191">
        <f>1013.03*('PPI Adj'!D6)</f>
        <v>1182.2060100000001</v>
      </c>
    </row>
    <row r="103" spans="1:8" ht="13.5" thickBot="1" x14ac:dyDescent="0.25"/>
    <row r="104" spans="1:8" s="17" customFormat="1" ht="18.75" thickBot="1" x14ac:dyDescent="0.3">
      <c r="A104" s="373" t="s">
        <v>166</v>
      </c>
      <c r="B104" s="374"/>
      <c r="C104" s="374"/>
      <c r="D104" s="375"/>
      <c r="E104" s="38"/>
      <c r="F104" s="417" t="s">
        <v>420</v>
      </c>
      <c r="G104" s="418"/>
      <c r="H104" s="419"/>
    </row>
    <row r="105" spans="1:8" s="3" customFormat="1" ht="15" customHeight="1" thickBot="1" x14ac:dyDescent="0.3">
      <c r="A105" s="52" t="s">
        <v>33</v>
      </c>
      <c r="B105" s="24" t="s">
        <v>7</v>
      </c>
      <c r="C105" s="397" t="s">
        <v>165</v>
      </c>
      <c r="D105" s="398"/>
      <c r="E105" s="39"/>
      <c r="F105" s="216" t="s">
        <v>19</v>
      </c>
      <c r="G105" s="217" t="s">
        <v>248</v>
      </c>
      <c r="H105" s="218" t="s">
        <v>269</v>
      </c>
    </row>
    <row r="106" spans="1:8" s="13" customFormat="1" ht="41.1" customHeight="1" thickBot="1" x14ac:dyDescent="0.3">
      <c r="A106" s="53" t="s">
        <v>83</v>
      </c>
      <c r="B106" s="23" t="s">
        <v>146</v>
      </c>
      <c r="C106" s="399"/>
      <c r="D106" s="400"/>
      <c r="E106" s="35"/>
      <c r="F106" s="280" t="s">
        <v>438</v>
      </c>
      <c r="G106" s="280" t="s">
        <v>438</v>
      </c>
      <c r="H106" s="184" t="s">
        <v>438</v>
      </c>
    </row>
    <row r="107" spans="1:8" s="13" customFormat="1" ht="26.25" thickBot="1" x14ac:dyDescent="0.3">
      <c r="A107" s="50" t="s">
        <v>34</v>
      </c>
      <c r="B107" s="30" t="s">
        <v>107</v>
      </c>
      <c r="C107" s="380" t="s">
        <v>30</v>
      </c>
      <c r="D107" s="381"/>
      <c r="E107" s="34"/>
      <c r="F107" s="280" t="s">
        <v>439</v>
      </c>
      <c r="G107" s="280" t="s">
        <v>439</v>
      </c>
      <c r="H107" s="184" t="s">
        <v>439</v>
      </c>
    </row>
    <row r="108" spans="1:8" s="13" customFormat="1" ht="51.95" customHeight="1" thickBot="1" x14ac:dyDescent="0.3">
      <c r="A108" s="50" t="s">
        <v>35</v>
      </c>
      <c r="B108" s="30" t="s">
        <v>97</v>
      </c>
      <c r="C108" s="368"/>
      <c r="D108" s="369"/>
      <c r="E108" s="35"/>
      <c r="F108" s="280"/>
      <c r="G108" s="280"/>
      <c r="H108" s="184"/>
    </row>
    <row r="109" spans="1:8" s="13" customFormat="1" ht="26.25" thickBot="1" x14ac:dyDescent="0.3">
      <c r="A109" s="50" t="s">
        <v>36</v>
      </c>
      <c r="B109" s="30" t="s">
        <v>84</v>
      </c>
      <c r="C109" s="380" t="s">
        <v>99</v>
      </c>
      <c r="D109" s="381"/>
      <c r="E109" s="34"/>
      <c r="F109" s="280" t="s">
        <v>441</v>
      </c>
      <c r="G109" s="280" t="s">
        <v>441</v>
      </c>
      <c r="H109" s="184" t="s">
        <v>441</v>
      </c>
    </row>
    <row r="110" spans="1:8" s="13" customFormat="1" ht="12.75" customHeight="1" x14ac:dyDescent="0.25">
      <c r="A110" s="354" t="s">
        <v>60</v>
      </c>
      <c r="B110" s="356" t="s">
        <v>133</v>
      </c>
      <c r="C110" s="358" t="s">
        <v>203</v>
      </c>
      <c r="D110" s="359"/>
      <c r="E110" s="34"/>
      <c r="F110" s="281" t="s">
        <v>278</v>
      </c>
      <c r="G110" s="281" t="s">
        <v>278</v>
      </c>
      <c r="H110" s="183" t="s">
        <v>278</v>
      </c>
    </row>
    <row r="111" spans="1:8" s="13" customFormat="1" x14ac:dyDescent="0.25">
      <c r="A111" s="362"/>
      <c r="B111" s="363"/>
      <c r="C111" s="364" t="s">
        <v>202</v>
      </c>
      <c r="D111" s="365"/>
      <c r="E111" s="34"/>
      <c r="F111" s="282">
        <v>6005</v>
      </c>
      <c r="G111" s="282">
        <v>6005</v>
      </c>
      <c r="H111" s="169">
        <v>6005</v>
      </c>
    </row>
    <row r="112" spans="1:8" s="13" customFormat="1" x14ac:dyDescent="0.25">
      <c r="A112" s="362"/>
      <c r="B112" s="363"/>
      <c r="C112" s="364" t="s">
        <v>114</v>
      </c>
      <c r="D112" s="365"/>
      <c r="E112" s="34"/>
      <c r="F112" s="282" t="s">
        <v>442</v>
      </c>
      <c r="G112" s="282" t="s">
        <v>442</v>
      </c>
      <c r="H112" s="169" t="s">
        <v>442</v>
      </c>
    </row>
    <row r="113" spans="1:8" s="13" customFormat="1" ht="30.75" customHeight="1" thickBot="1" x14ac:dyDescent="0.3">
      <c r="A113" s="355"/>
      <c r="B113" s="357"/>
      <c r="C113" s="352" t="s">
        <v>115</v>
      </c>
      <c r="D113" s="353"/>
      <c r="E113" s="34"/>
      <c r="F113" s="283" t="s">
        <v>443</v>
      </c>
      <c r="G113" s="283" t="s">
        <v>443</v>
      </c>
      <c r="H113" s="174" t="s">
        <v>443</v>
      </c>
    </row>
    <row r="114" spans="1:8" s="13" customFormat="1" ht="12.75" customHeight="1" x14ac:dyDescent="0.25">
      <c r="A114" s="354" t="s">
        <v>61</v>
      </c>
      <c r="B114" s="356" t="s">
        <v>206</v>
      </c>
      <c r="C114" s="358" t="s">
        <v>205</v>
      </c>
      <c r="D114" s="359"/>
      <c r="E114" s="34"/>
      <c r="F114" s="281"/>
      <c r="G114" s="281"/>
      <c r="H114" s="183"/>
    </row>
    <row r="115" spans="1:8" s="13" customFormat="1" x14ac:dyDescent="0.25">
      <c r="A115" s="362"/>
      <c r="B115" s="363"/>
      <c r="C115" s="364" t="s">
        <v>204</v>
      </c>
      <c r="D115" s="365"/>
      <c r="E115" s="34"/>
      <c r="F115" s="284"/>
      <c r="G115" s="284"/>
      <c r="H115" s="185"/>
    </row>
    <row r="116" spans="1:8" s="13" customFormat="1" x14ac:dyDescent="0.25">
      <c r="A116" s="362"/>
      <c r="B116" s="363"/>
      <c r="C116" s="364" t="s">
        <v>203</v>
      </c>
      <c r="D116" s="365"/>
      <c r="E116" s="34"/>
      <c r="F116" s="284"/>
      <c r="G116" s="284"/>
      <c r="H116" s="185"/>
    </row>
    <row r="117" spans="1:8" s="13" customFormat="1" x14ac:dyDescent="0.25">
      <c r="A117" s="362"/>
      <c r="B117" s="363"/>
      <c r="C117" s="364" t="s">
        <v>202</v>
      </c>
      <c r="D117" s="365"/>
      <c r="E117" s="34"/>
      <c r="F117" s="282"/>
      <c r="G117" s="282"/>
      <c r="H117" s="169"/>
    </row>
    <row r="118" spans="1:8" s="13" customFormat="1" x14ac:dyDescent="0.25">
      <c r="A118" s="362"/>
      <c r="B118" s="363"/>
      <c r="C118" s="364" t="s">
        <v>112</v>
      </c>
      <c r="D118" s="365"/>
      <c r="E118" s="34"/>
      <c r="F118" s="282"/>
      <c r="G118" s="282"/>
      <c r="H118" s="169"/>
    </row>
    <row r="119" spans="1:8" s="13" customFormat="1" x14ac:dyDescent="0.25">
      <c r="A119" s="362"/>
      <c r="B119" s="363"/>
      <c r="C119" s="364" t="s">
        <v>113</v>
      </c>
      <c r="D119" s="365"/>
      <c r="E119" s="34"/>
      <c r="F119" s="284"/>
      <c r="G119" s="284"/>
      <c r="H119" s="185"/>
    </row>
    <row r="120" spans="1:8" s="13" customFormat="1" x14ac:dyDescent="0.25">
      <c r="A120" s="362"/>
      <c r="B120" s="363"/>
      <c r="C120" s="364" t="s">
        <v>114</v>
      </c>
      <c r="D120" s="365"/>
      <c r="E120" s="34"/>
      <c r="F120" s="284"/>
      <c r="G120" s="284"/>
      <c r="H120" s="185"/>
    </row>
    <row r="121" spans="1:8" s="13" customFormat="1" ht="13.5" thickBot="1" x14ac:dyDescent="0.3">
      <c r="A121" s="355"/>
      <c r="B121" s="357"/>
      <c r="C121" s="352" t="s">
        <v>115</v>
      </c>
      <c r="D121" s="353"/>
      <c r="E121" s="34"/>
      <c r="F121" s="283"/>
      <c r="G121" s="283"/>
      <c r="H121" s="174"/>
    </row>
    <row r="122" spans="1:8" s="13" customFormat="1" ht="143.44999999999999" customHeight="1" thickBot="1" x14ac:dyDescent="0.3">
      <c r="A122" s="54" t="s">
        <v>86</v>
      </c>
      <c r="B122" s="18" t="s">
        <v>143</v>
      </c>
      <c r="C122" s="380" t="s">
        <v>104</v>
      </c>
      <c r="D122" s="381"/>
      <c r="E122" s="34"/>
      <c r="F122" s="281" t="s">
        <v>444</v>
      </c>
      <c r="G122" s="281" t="s">
        <v>444</v>
      </c>
      <c r="H122" s="183" t="s">
        <v>444</v>
      </c>
    </row>
    <row r="123" spans="1:8" ht="168.6" customHeight="1" thickBot="1" x14ac:dyDescent="0.25">
      <c r="A123" s="50" t="s">
        <v>85</v>
      </c>
      <c r="B123" s="14" t="s">
        <v>170</v>
      </c>
      <c r="C123" s="380" t="s">
        <v>104</v>
      </c>
      <c r="D123" s="381"/>
      <c r="E123" s="34"/>
      <c r="F123" s="280" t="s">
        <v>464</v>
      </c>
      <c r="G123" s="280" t="s">
        <v>464</v>
      </c>
      <c r="H123" s="184" t="s">
        <v>464</v>
      </c>
    </row>
    <row r="124" spans="1:8" x14ac:dyDescent="0.2">
      <c r="A124" s="354" t="s">
        <v>13</v>
      </c>
      <c r="B124" s="356" t="s">
        <v>98</v>
      </c>
      <c r="C124" s="358" t="s">
        <v>30</v>
      </c>
      <c r="D124" s="359"/>
      <c r="E124" s="34"/>
      <c r="F124" s="281" t="s">
        <v>446</v>
      </c>
      <c r="G124" s="281" t="s">
        <v>446</v>
      </c>
      <c r="H124" s="183" t="s">
        <v>446</v>
      </c>
    </row>
    <row r="125" spans="1:8" ht="29.45" customHeight="1" thickBot="1" x14ac:dyDescent="0.25">
      <c r="A125" s="355"/>
      <c r="B125" s="357"/>
      <c r="C125" s="352" t="s">
        <v>109</v>
      </c>
      <c r="D125" s="353"/>
      <c r="E125" s="34"/>
      <c r="F125" s="283">
        <v>1000</v>
      </c>
      <c r="G125" s="283">
        <v>1000</v>
      </c>
      <c r="H125" s="174">
        <v>1000</v>
      </c>
    </row>
    <row r="126" spans="1:8" ht="66.95" customHeight="1" thickBot="1" x14ac:dyDescent="0.25">
      <c r="A126" s="50" t="s">
        <v>37</v>
      </c>
      <c r="B126" s="30" t="s">
        <v>135</v>
      </c>
      <c r="C126" s="368"/>
      <c r="D126" s="369"/>
      <c r="E126" s="35"/>
      <c r="F126" s="280" t="s">
        <v>447</v>
      </c>
      <c r="G126" s="280" t="s">
        <v>447</v>
      </c>
      <c r="H126" s="184" t="s">
        <v>447</v>
      </c>
    </row>
    <row r="127" spans="1:8" ht="41.1" customHeight="1" thickBot="1" x14ac:dyDescent="0.25">
      <c r="A127" s="50" t="s">
        <v>38</v>
      </c>
      <c r="B127" s="30" t="s">
        <v>87</v>
      </c>
      <c r="C127" s="368"/>
      <c r="D127" s="369"/>
      <c r="E127" s="35"/>
      <c r="F127" s="280"/>
      <c r="G127" s="280"/>
      <c r="H127" s="184"/>
    </row>
    <row r="128" spans="1:8" ht="14.45" customHeight="1" thickBot="1" x14ac:dyDescent="0.25">
      <c r="A128" s="50" t="s">
        <v>201</v>
      </c>
      <c r="B128" s="30" t="s">
        <v>200</v>
      </c>
      <c r="C128" s="380"/>
      <c r="D128" s="381"/>
      <c r="E128" s="34"/>
      <c r="F128" s="280"/>
      <c r="G128" s="280"/>
      <c r="H128" s="184"/>
    </row>
    <row r="129" spans="1:8" ht="26.45" customHeight="1" thickBot="1" x14ac:dyDescent="0.25">
      <c r="A129" s="50" t="s">
        <v>39</v>
      </c>
      <c r="B129" s="30" t="s">
        <v>106</v>
      </c>
      <c r="C129" s="380" t="s">
        <v>105</v>
      </c>
      <c r="D129" s="381"/>
      <c r="E129" s="34"/>
      <c r="F129" s="280" t="s">
        <v>184</v>
      </c>
      <c r="G129" s="280" t="s">
        <v>184</v>
      </c>
      <c r="H129" s="184" t="s">
        <v>184</v>
      </c>
    </row>
    <row r="130" spans="1:8" x14ac:dyDescent="0.2">
      <c r="A130" s="354" t="s">
        <v>88</v>
      </c>
      <c r="B130" s="356" t="s">
        <v>148</v>
      </c>
      <c r="C130" s="358" t="s">
        <v>100</v>
      </c>
      <c r="D130" s="359"/>
      <c r="E130" s="34"/>
      <c r="F130" s="281" t="s">
        <v>448</v>
      </c>
      <c r="G130" s="281" t="s">
        <v>448</v>
      </c>
      <c r="H130" s="183" t="s">
        <v>448</v>
      </c>
    </row>
    <row r="131" spans="1:8" ht="108" customHeight="1" thickBot="1" x14ac:dyDescent="0.25">
      <c r="A131" s="355"/>
      <c r="B131" s="357"/>
      <c r="C131" s="352" t="s">
        <v>110</v>
      </c>
      <c r="D131" s="353"/>
      <c r="E131" s="34"/>
      <c r="F131" s="285" t="s">
        <v>449</v>
      </c>
      <c r="G131" s="285" t="s">
        <v>449</v>
      </c>
      <c r="H131" s="201" t="s">
        <v>449</v>
      </c>
    </row>
    <row r="132" spans="1:8" ht="39" thickBot="1" x14ac:dyDescent="0.25">
      <c r="A132" s="50" t="s">
        <v>40</v>
      </c>
      <c r="B132" s="30" t="s">
        <v>137</v>
      </c>
      <c r="C132" s="380" t="s">
        <v>100</v>
      </c>
      <c r="D132" s="381"/>
      <c r="E132" s="34"/>
      <c r="F132" s="283" t="s">
        <v>457</v>
      </c>
      <c r="G132" s="283" t="s">
        <v>457</v>
      </c>
      <c r="H132" s="174" t="s">
        <v>457</v>
      </c>
    </row>
    <row r="133" spans="1:8" ht="54.6" customHeight="1" thickBot="1" x14ac:dyDescent="0.25">
      <c r="A133" s="50" t="s">
        <v>14</v>
      </c>
      <c r="B133" s="30" t="s">
        <v>138</v>
      </c>
      <c r="C133" s="380" t="s">
        <v>139</v>
      </c>
      <c r="D133" s="381"/>
      <c r="E133" s="34"/>
      <c r="F133" s="280">
        <v>2</v>
      </c>
      <c r="G133" s="280">
        <v>2</v>
      </c>
      <c r="H133" s="184">
        <v>2</v>
      </c>
    </row>
    <row r="134" spans="1:8" ht="66" customHeight="1" thickBot="1" x14ac:dyDescent="0.25">
      <c r="A134" s="50" t="s">
        <v>91</v>
      </c>
      <c r="B134" s="30" t="s">
        <v>144</v>
      </c>
      <c r="C134" s="380" t="s">
        <v>100</v>
      </c>
      <c r="D134" s="381"/>
      <c r="E134" s="34"/>
      <c r="F134" s="280" t="s">
        <v>359</v>
      </c>
      <c r="G134" s="280" t="s">
        <v>359</v>
      </c>
      <c r="H134" s="184" t="s">
        <v>359</v>
      </c>
    </row>
    <row r="135" spans="1:8" ht="65.45" customHeight="1" thickBot="1" x14ac:dyDescent="0.25">
      <c r="A135" s="50" t="s">
        <v>92</v>
      </c>
      <c r="B135" s="30" t="s">
        <v>145</v>
      </c>
      <c r="C135" s="368"/>
      <c r="D135" s="369"/>
      <c r="E135" s="35"/>
      <c r="F135" s="280"/>
      <c r="G135" s="280"/>
      <c r="H135" s="184"/>
    </row>
  </sheetData>
  <sheetProtection algorithmName="SHA-512" hashValue="IYMZG0YsICCbzHnFbPACCd/hyoj3J28URbHm1zLs76jkFNPDns5023EId/Dum/jvwJ8oe78TqAHcxZ4RUkOjEQ==" saltValue="aesYOU/ES2Z94N58szX6mg==" spinCount="100000" sheet="1" objects="1" scenarios="1"/>
  <dataConsolidate/>
  <mergeCells count="159">
    <mergeCell ref="C134:D134"/>
    <mergeCell ref="C135:D135"/>
    <mergeCell ref="C126:D126"/>
    <mergeCell ref="C127:D127"/>
    <mergeCell ref="C128:D128"/>
    <mergeCell ref="C129:D129"/>
    <mergeCell ref="C119:D119"/>
    <mergeCell ref="C120:D120"/>
    <mergeCell ref="C121:D121"/>
    <mergeCell ref="A130:A131"/>
    <mergeCell ref="B130:B131"/>
    <mergeCell ref="C130:D130"/>
    <mergeCell ref="C131:D131"/>
    <mergeCell ref="C132:D132"/>
    <mergeCell ref="C133:D133"/>
    <mergeCell ref="C105:D105"/>
    <mergeCell ref="C106:D106"/>
    <mergeCell ref="C107:D107"/>
    <mergeCell ref="C122:D122"/>
    <mergeCell ref="C123:D123"/>
    <mergeCell ref="A124:A125"/>
    <mergeCell ref="B124:B125"/>
    <mergeCell ref="C124:D124"/>
    <mergeCell ref="C125:D125"/>
    <mergeCell ref="A114:A121"/>
    <mergeCell ref="C108:D108"/>
    <mergeCell ref="C109:D109"/>
    <mergeCell ref="A110:A113"/>
    <mergeCell ref="B110:B113"/>
    <mergeCell ref="C110:D110"/>
    <mergeCell ref="C111:D111"/>
    <mergeCell ref="C112:D112"/>
    <mergeCell ref="C113:D113"/>
    <mergeCell ref="B114:B121"/>
    <mergeCell ref="C114:D114"/>
    <mergeCell ref="C115:D115"/>
    <mergeCell ref="C116:D116"/>
    <mergeCell ref="C117:D117"/>
    <mergeCell ref="C118:D118"/>
    <mergeCell ref="A100:D100"/>
    <mergeCell ref="A89:D89"/>
    <mergeCell ref="A90:D90"/>
    <mergeCell ref="A91:D91"/>
    <mergeCell ref="A92:D92"/>
    <mergeCell ref="A93:D93"/>
    <mergeCell ref="A94:D94"/>
    <mergeCell ref="A102:D102"/>
    <mergeCell ref="A104:D104"/>
    <mergeCell ref="A101:D101"/>
    <mergeCell ref="A95:D95"/>
    <mergeCell ref="A96:D96"/>
    <mergeCell ref="A97:D97"/>
    <mergeCell ref="A98:D98"/>
    <mergeCell ref="A99:D99"/>
    <mergeCell ref="A83:D83"/>
    <mergeCell ref="A84:D84"/>
    <mergeCell ref="A85:D85"/>
    <mergeCell ref="A86:D86"/>
    <mergeCell ref="A87:D87"/>
    <mergeCell ref="A88:D88"/>
    <mergeCell ref="C64:D64"/>
    <mergeCell ref="C65:D65"/>
    <mergeCell ref="C66:D66"/>
    <mergeCell ref="C67:D67"/>
    <mergeCell ref="C68:D68"/>
    <mergeCell ref="C77:D77"/>
    <mergeCell ref="C78:D78"/>
    <mergeCell ref="C79:D79"/>
    <mergeCell ref="C80:D80"/>
    <mergeCell ref="C71:D71"/>
    <mergeCell ref="C72:D72"/>
    <mergeCell ref="C73:D73"/>
    <mergeCell ref="C74:D74"/>
    <mergeCell ref="C75:D75"/>
    <mergeCell ref="C76:D76"/>
    <mergeCell ref="A82:D82"/>
    <mergeCell ref="A69:A70"/>
    <mergeCell ref="B69:B70"/>
    <mergeCell ref="B41:B43"/>
    <mergeCell ref="C41:D41"/>
    <mergeCell ref="C69:D69"/>
    <mergeCell ref="C70:D70"/>
    <mergeCell ref="A60:A62"/>
    <mergeCell ref="B60:B62"/>
    <mergeCell ref="C60:D60"/>
    <mergeCell ref="C61:D61"/>
    <mergeCell ref="C62:D62"/>
    <mergeCell ref="C63:D63"/>
    <mergeCell ref="A53:A55"/>
    <mergeCell ref="B53:B55"/>
    <mergeCell ref="C53:D53"/>
    <mergeCell ref="C54:D54"/>
    <mergeCell ref="C55:D55"/>
    <mergeCell ref="C56:D56"/>
    <mergeCell ref="C57:D57"/>
    <mergeCell ref="A58:A59"/>
    <mergeCell ref="B58:B59"/>
    <mergeCell ref="C58:D58"/>
    <mergeCell ref="C59:D59"/>
    <mergeCell ref="C25:D25"/>
    <mergeCell ref="C26:D26"/>
    <mergeCell ref="C35:D35"/>
    <mergeCell ref="A36:A37"/>
    <mergeCell ref="B36:B37"/>
    <mergeCell ref="C36:D36"/>
    <mergeCell ref="C37:D37"/>
    <mergeCell ref="C44:D44"/>
    <mergeCell ref="A45:A52"/>
    <mergeCell ref="B45:B52"/>
    <mergeCell ref="C45:D45"/>
    <mergeCell ref="C46:D46"/>
    <mergeCell ref="C47:D47"/>
    <mergeCell ref="C48:D48"/>
    <mergeCell ref="C49:D49"/>
    <mergeCell ref="C50:D50"/>
    <mergeCell ref="C51:D51"/>
    <mergeCell ref="C52:D52"/>
    <mergeCell ref="A38:A39"/>
    <mergeCell ref="B38:B39"/>
    <mergeCell ref="C38:D38"/>
    <mergeCell ref="C39:D39"/>
    <mergeCell ref="C40:D40"/>
    <mergeCell ref="A41:A43"/>
    <mergeCell ref="A27:A28"/>
    <mergeCell ref="B27:B28"/>
    <mergeCell ref="C27:D27"/>
    <mergeCell ref="C28:D28"/>
    <mergeCell ref="C34:D34"/>
    <mergeCell ref="C29:D29"/>
    <mergeCell ref="A30:A34"/>
    <mergeCell ref="B30:B34"/>
    <mergeCell ref="C30:D30"/>
    <mergeCell ref="C31:D31"/>
    <mergeCell ref="C32:D32"/>
    <mergeCell ref="C33:D33"/>
    <mergeCell ref="F82:H82"/>
    <mergeCell ref="F104:H104"/>
    <mergeCell ref="A3:D3"/>
    <mergeCell ref="A4:D4"/>
    <mergeCell ref="A6:D6"/>
    <mergeCell ref="B8:D8"/>
    <mergeCell ref="F24:H24"/>
    <mergeCell ref="B9:D9"/>
    <mergeCell ref="B10:D10"/>
    <mergeCell ref="B11:D11"/>
    <mergeCell ref="B12:D12"/>
    <mergeCell ref="B21:D21"/>
    <mergeCell ref="B22:D22"/>
    <mergeCell ref="A24:D24"/>
    <mergeCell ref="B13:D13"/>
    <mergeCell ref="B14:D14"/>
    <mergeCell ref="F6:H6"/>
    <mergeCell ref="F19:H19"/>
    <mergeCell ref="C42:D42"/>
    <mergeCell ref="C43:D43"/>
    <mergeCell ref="B15:D15"/>
    <mergeCell ref="B16:D16"/>
    <mergeCell ref="B17:D17"/>
    <mergeCell ref="A19:D19"/>
  </mergeCells>
  <phoneticPr fontId="22" type="noConversion"/>
  <conditionalFormatting sqref="C56 C65">
    <cfRule type="expression" dxfId="116" priority="129">
      <formula>#REF!="NO"</formula>
    </cfRule>
  </conditionalFormatting>
  <conditionalFormatting sqref="C41:D43">
    <cfRule type="expression" dxfId="115" priority="117">
      <formula>$F$2="NO"</formula>
    </cfRule>
  </conditionalFormatting>
  <conditionalFormatting sqref="C26:E40">
    <cfRule type="expression" dxfId="114" priority="119">
      <formula>#REF!="NO"</formula>
    </cfRule>
  </conditionalFormatting>
  <conditionalFormatting sqref="C44:E80">
    <cfRule type="expression" dxfId="113" priority="116">
      <formula>#REF!="NO"</formula>
    </cfRule>
  </conditionalFormatting>
  <conditionalFormatting sqref="C106:H135">
    <cfRule type="expression" dxfId="112" priority="1">
      <formula>#REF!="NO"</formula>
    </cfRule>
  </conditionalFormatting>
  <conditionalFormatting sqref="E41:E43">
    <cfRule type="expression" dxfId="111" priority="118">
      <formula>#REF!="NO"</formula>
    </cfRule>
  </conditionalFormatting>
  <conditionalFormatting sqref="E84:H102">
    <cfRule type="expression" dxfId="110" priority="11">
      <formula>#REF!="NO"</formula>
    </cfRule>
  </conditionalFormatting>
  <conditionalFormatting sqref="F8:F9">
    <cfRule type="expression" dxfId="109" priority="74">
      <formula>#REF!="NO"</formula>
    </cfRule>
  </conditionalFormatting>
  <conditionalFormatting sqref="F26:F80">
    <cfRule type="expression" dxfId="108" priority="81">
      <formula>#REF!="NO"</formula>
    </cfRule>
  </conditionalFormatting>
  <conditionalFormatting sqref="F10:G17">
    <cfRule type="expression" dxfId="107" priority="113">
      <formula>#REF!="NO"</formula>
    </cfRule>
  </conditionalFormatting>
  <conditionalFormatting sqref="F21:H22">
    <cfRule type="expression" dxfId="106" priority="24">
      <formula>#REF!="NO"</formula>
    </cfRule>
  </conditionalFormatting>
  <conditionalFormatting sqref="G8:G9">
    <cfRule type="expression" dxfId="105" priority="15">
      <formula>$F$2="NO"</formula>
    </cfRule>
  </conditionalFormatting>
  <conditionalFormatting sqref="G13:G17">
    <cfRule type="expression" dxfId="104" priority="110">
      <formula>#REF!="NO"</formula>
    </cfRule>
  </conditionalFormatting>
  <conditionalFormatting sqref="G26:G68">
    <cfRule type="expression" dxfId="103" priority="80">
      <formula>#REF!="NO"</formula>
    </cfRule>
  </conditionalFormatting>
  <conditionalFormatting sqref="G70:G80">
    <cfRule type="expression" dxfId="102" priority="87">
      <formula>#REF!="NO"</formula>
    </cfRule>
  </conditionalFormatting>
  <conditionalFormatting sqref="G69:H69">
    <cfRule type="expression" dxfId="101" priority="102">
      <formula>#REF!="NO"</formula>
    </cfRule>
  </conditionalFormatting>
  <conditionalFormatting sqref="H8">
    <cfRule type="expression" dxfId="100" priority="38">
      <formula>$F$2="NO"</formula>
    </cfRule>
  </conditionalFormatting>
  <conditionalFormatting sqref="H9">
    <cfRule type="expression" dxfId="99" priority="30">
      <formula>#REF!="NO"</formula>
    </cfRule>
  </conditionalFormatting>
  <conditionalFormatting sqref="H10:H17">
    <cfRule type="expression" dxfId="98" priority="32">
      <formula>$F$2="NO"</formula>
    </cfRule>
  </conditionalFormatting>
  <conditionalFormatting sqref="H21">
    <cfRule type="expression" dxfId="97" priority="27">
      <formula>$F$2="NO"</formula>
    </cfRule>
  </conditionalFormatting>
  <conditionalFormatting sqref="H22">
    <cfRule type="expression" dxfId="96" priority="25">
      <formula>#REF!="NO"</formula>
    </cfRule>
  </conditionalFormatting>
  <conditionalFormatting sqref="H26">
    <cfRule type="expression" dxfId="95" priority="56">
      <formula>#REF!="NO"</formula>
    </cfRule>
  </conditionalFormatting>
  <conditionalFormatting sqref="H27:H68">
    <cfRule type="expression" dxfId="94" priority="57">
      <formula>$F$2="NO"</formula>
    </cfRule>
  </conditionalFormatting>
  <conditionalFormatting sqref="H56:H57">
    <cfRule type="expression" dxfId="93" priority="65">
      <formula>#REF!="NO"</formula>
    </cfRule>
  </conditionalFormatting>
  <conditionalFormatting sqref="H65">
    <cfRule type="expression" dxfId="92" priority="71">
      <formula>#REF!="NO"</formula>
    </cfRule>
  </conditionalFormatting>
  <conditionalFormatting sqref="H70:H80">
    <cfRule type="expression" dxfId="91" priority="60">
      <formula>$F$2="NO"</formula>
    </cfRule>
  </conditionalFormatting>
  <dataValidations count="3">
    <dataValidation type="decimal" operator="greaterThanOrEqual" allowBlank="1" showInputMessage="1" showErrorMessage="1" error="The Pickup Allowance cannot be a negative number." sqref="F16:H16" xr:uid="{00000000-0002-0000-0400-000002000000}">
      <formula1>0</formula1>
    </dataValidation>
    <dataValidation type="decimal" allowBlank="1" showInputMessage="1" showErrorMessage="1" error="Invalid Entry - Bidder must enter a value that is greater than $0" sqref="F21:H21" xr:uid="{00000000-0002-0000-0400-000001000000}">
      <formula1>0</formula1>
      <formula2>9E+21</formula2>
    </dataValidation>
    <dataValidation type="decimal" allowBlank="1" showInputMessage="1" showErrorMessage="1" error="The Additional Options NYS Discount entered must be greater than 0%, or less than or equal to 100%." sqref="F22:H22" xr:uid="{00000000-0002-0000-0400-000000000000}">
      <formula1>0.01</formula1>
      <formula2>100</formula2>
    </dataValidation>
  </dataValidations>
  <pageMargins left="0.25" right="0.25" top="0.5" bottom="0.25" header="0.3" footer="0.3"/>
  <pageSetup scale="72"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6D5DF-13F9-48DA-9288-39023594F57F}">
  <sheetPr>
    <tabColor theme="5"/>
  </sheetPr>
  <dimension ref="A1:F128"/>
  <sheetViews>
    <sheetView showGridLines="0" zoomScaleNormal="100" zoomScaleSheetLayoutView="100" workbookViewId="0">
      <selection activeCell="A3" sqref="A3:D3"/>
    </sheetView>
  </sheetViews>
  <sheetFormatPr defaultRowHeight="15" x14ac:dyDescent="0.25"/>
  <cols>
    <col min="1" max="1" width="19.140625" customWidth="1"/>
    <col min="2" max="2" width="62.85546875" customWidth="1"/>
    <col min="3" max="3" width="14.7109375" customWidth="1"/>
    <col min="4" max="4" width="20.7109375" customWidth="1"/>
    <col min="5" max="5" width="2.7109375" customWidth="1"/>
    <col min="6" max="6" width="25" style="287" customWidth="1"/>
  </cols>
  <sheetData>
    <row r="1" spans="1:6" s="2" customFormat="1" ht="12.75" x14ac:dyDescent="0.2">
      <c r="A1" s="165" t="str">
        <f>'A (Item 2-G)'!$A$1</f>
        <v>GROUP 40524-23254, SCHOOL BUSES (Statewide)                                                             Attachment 1 - Specifications and Pricing (Revised October 15, 2026)</v>
      </c>
      <c r="F1" s="210"/>
    </row>
    <row r="2" spans="1:6" ht="15.75" thickBot="1" x14ac:dyDescent="0.3">
      <c r="A2" s="316" t="str">
        <f>'Attachment 1 - Summary'!B2</f>
        <v>PC69864 New York Bus Sales, LLC</v>
      </c>
      <c r="B2" s="26"/>
      <c r="C2" s="26"/>
      <c r="D2" s="26"/>
      <c r="E2" s="26"/>
      <c r="F2" s="314"/>
    </row>
    <row r="3" spans="1:6" ht="24" thickBot="1" x14ac:dyDescent="0.3">
      <c r="A3" s="437" t="s">
        <v>274</v>
      </c>
      <c r="B3" s="438"/>
      <c r="C3" s="438"/>
      <c r="D3" s="439"/>
    </row>
    <row r="4" spans="1:6" ht="39.950000000000003" customHeight="1" thickBot="1" x14ac:dyDescent="0.3">
      <c r="A4" s="343" t="s">
        <v>273</v>
      </c>
      <c r="B4" s="344"/>
      <c r="C4" s="344"/>
      <c r="D4" s="345"/>
    </row>
    <row r="5" spans="1:6" ht="15.75" thickBot="1" x14ac:dyDescent="0.3">
      <c r="A5" s="57"/>
      <c r="B5" s="57"/>
      <c r="C5" s="57"/>
      <c r="D5" s="57"/>
      <c r="E5" s="57"/>
      <c r="F5" s="313"/>
    </row>
    <row r="6" spans="1:6" ht="16.5" thickBot="1" x14ac:dyDescent="0.3">
      <c r="A6" s="346" t="s">
        <v>151</v>
      </c>
      <c r="B6" s="347"/>
      <c r="C6" s="347"/>
      <c r="D6" s="348"/>
      <c r="E6" s="36"/>
      <c r="F6" s="181" t="s">
        <v>420</v>
      </c>
    </row>
    <row r="7" spans="1:6" ht="15.75" thickBot="1" x14ac:dyDescent="0.3">
      <c r="A7" s="41" t="s">
        <v>6</v>
      </c>
      <c r="B7" s="27" t="s">
        <v>165</v>
      </c>
      <c r="C7" s="32"/>
      <c r="D7" s="40"/>
      <c r="E7" s="37"/>
      <c r="F7" s="286" t="s">
        <v>207</v>
      </c>
    </row>
    <row r="8" spans="1:6" ht="52.5" thickTop="1" thickBot="1" x14ac:dyDescent="0.3">
      <c r="A8" s="42" t="s">
        <v>9</v>
      </c>
      <c r="B8" s="337" t="s">
        <v>152</v>
      </c>
      <c r="C8" s="338"/>
      <c r="D8" s="339"/>
      <c r="E8" s="13"/>
      <c r="F8" s="184" t="s">
        <v>465</v>
      </c>
    </row>
    <row r="9" spans="1:6" ht="38.450000000000003" customHeight="1" thickTop="1" thickBot="1" x14ac:dyDescent="0.3">
      <c r="A9" s="42" t="s">
        <v>229</v>
      </c>
      <c r="B9" s="337" t="s">
        <v>230</v>
      </c>
      <c r="C9" s="338"/>
      <c r="D9" s="339"/>
      <c r="E9" s="13"/>
      <c r="F9" s="185" t="s">
        <v>463</v>
      </c>
    </row>
    <row r="10" spans="1:6" ht="15.75" thickTop="1" x14ac:dyDescent="0.25">
      <c r="A10" s="43" t="s">
        <v>0</v>
      </c>
      <c r="B10" s="328" t="s">
        <v>154</v>
      </c>
      <c r="C10" s="329"/>
      <c r="D10" s="330"/>
      <c r="E10" s="13"/>
      <c r="F10" s="169" t="s">
        <v>420</v>
      </c>
    </row>
    <row r="11" spans="1:6" x14ac:dyDescent="0.25">
      <c r="A11" s="43" t="s">
        <v>1</v>
      </c>
      <c r="B11" s="328" t="s">
        <v>228</v>
      </c>
      <c r="C11" s="329"/>
      <c r="D11" s="330"/>
      <c r="E11" s="13"/>
      <c r="F11" s="169" t="s">
        <v>421</v>
      </c>
    </row>
    <row r="12" spans="1:6" ht="26.25" thickBot="1" x14ac:dyDescent="0.3">
      <c r="A12" s="44" t="s">
        <v>2</v>
      </c>
      <c r="B12" s="331" t="s">
        <v>155</v>
      </c>
      <c r="C12" s="332"/>
      <c r="D12" s="333"/>
      <c r="E12" s="13"/>
      <c r="F12" s="170">
        <v>3011</v>
      </c>
    </row>
    <row r="13" spans="1:6" ht="15.75" thickTop="1" x14ac:dyDescent="0.25">
      <c r="A13" s="43" t="s">
        <v>3</v>
      </c>
      <c r="B13" s="328" t="s">
        <v>157</v>
      </c>
      <c r="C13" s="329"/>
      <c r="D13" s="330"/>
      <c r="E13" s="13"/>
      <c r="F13" s="169" t="s">
        <v>420</v>
      </c>
    </row>
    <row r="14" spans="1:6" x14ac:dyDescent="0.25">
      <c r="A14" s="43" t="s">
        <v>4</v>
      </c>
      <c r="B14" s="328" t="s">
        <v>227</v>
      </c>
      <c r="C14" s="329"/>
      <c r="D14" s="330"/>
      <c r="E14" s="13"/>
      <c r="F14" s="169" t="s">
        <v>422</v>
      </c>
    </row>
    <row r="15" spans="1:6" ht="15.75" thickBot="1" x14ac:dyDescent="0.3">
      <c r="A15" s="45" t="s">
        <v>5</v>
      </c>
      <c r="B15" s="331" t="s">
        <v>158</v>
      </c>
      <c r="C15" s="332"/>
      <c r="D15" s="333"/>
      <c r="E15" s="13"/>
      <c r="F15" s="172">
        <v>3011</v>
      </c>
    </row>
    <row r="16" spans="1:6" ht="27.95" customHeight="1" thickTop="1" x14ac:dyDescent="0.25">
      <c r="A16" s="43" t="s">
        <v>101</v>
      </c>
      <c r="B16" s="334" t="s">
        <v>226</v>
      </c>
      <c r="C16" s="335"/>
      <c r="D16" s="336"/>
      <c r="E16" s="13"/>
      <c r="F16" s="173">
        <v>100</v>
      </c>
    </row>
    <row r="17" spans="1:6" ht="27.6" customHeight="1" thickBot="1" x14ac:dyDescent="0.3">
      <c r="A17" s="45" t="s">
        <v>43</v>
      </c>
      <c r="B17" s="331" t="s">
        <v>225</v>
      </c>
      <c r="C17" s="332"/>
      <c r="D17" s="333"/>
      <c r="E17" s="13"/>
      <c r="F17" s="172" t="s">
        <v>399</v>
      </c>
    </row>
    <row r="18" spans="1:6" ht="16.5" thickTop="1" thickBot="1" x14ac:dyDescent="0.3"/>
    <row r="19" spans="1:6" ht="16.5" thickBot="1" x14ac:dyDescent="0.3">
      <c r="A19" s="346" t="s">
        <v>150</v>
      </c>
      <c r="B19" s="347"/>
      <c r="C19" s="347"/>
      <c r="D19" s="348"/>
      <c r="E19" s="36"/>
      <c r="F19" s="181" t="s">
        <v>420</v>
      </c>
    </row>
    <row r="20" spans="1:6" ht="15.75" thickBot="1" x14ac:dyDescent="0.3">
      <c r="A20" s="55" t="s">
        <v>6</v>
      </c>
      <c r="B20" s="31" t="s">
        <v>165</v>
      </c>
      <c r="C20" s="33"/>
      <c r="D20" s="48"/>
      <c r="E20" s="37"/>
      <c r="F20" s="188" t="s">
        <v>207</v>
      </c>
    </row>
    <row r="21" spans="1:6" ht="26.1" customHeight="1" x14ac:dyDescent="0.25">
      <c r="A21" s="46" t="s">
        <v>42</v>
      </c>
      <c r="B21" s="349" t="s">
        <v>161</v>
      </c>
      <c r="C21" s="350"/>
      <c r="D21" s="351"/>
      <c r="F21" s="214">
        <f>397900*('PPI Adj'!D6)</f>
        <v>464349.3</v>
      </c>
    </row>
    <row r="22" spans="1:6" ht="26.25" thickBot="1" x14ac:dyDescent="0.3">
      <c r="A22" s="47" t="s">
        <v>41</v>
      </c>
      <c r="B22" s="370" t="s">
        <v>163</v>
      </c>
      <c r="C22" s="371"/>
      <c r="D22" s="372"/>
      <c r="F22" s="179">
        <v>22</v>
      </c>
    </row>
    <row r="23" spans="1:6" ht="15.75" thickBot="1" x14ac:dyDescent="0.3"/>
    <row r="24" spans="1:6" ht="15.95" customHeight="1" thickBot="1" x14ac:dyDescent="0.3">
      <c r="A24" s="373" t="s">
        <v>164</v>
      </c>
      <c r="B24" s="374"/>
      <c r="C24" s="374"/>
      <c r="D24" s="375"/>
      <c r="E24" s="38"/>
      <c r="F24" s="181" t="s">
        <v>420</v>
      </c>
    </row>
    <row r="25" spans="1:6" ht="15" customHeight="1" thickBot="1" x14ac:dyDescent="0.3">
      <c r="A25" s="55" t="s">
        <v>6</v>
      </c>
      <c r="B25" s="56" t="s">
        <v>7</v>
      </c>
      <c r="C25" s="376" t="s">
        <v>165</v>
      </c>
      <c r="D25" s="377"/>
      <c r="E25" s="39"/>
      <c r="F25" s="188" t="s">
        <v>207</v>
      </c>
    </row>
    <row r="26" spans="1:6" ht="79.5" customHeight="1" thickBot="1" x14ac:dyDescent="0.3">
      <c r="A26" s="49" t="s">
        <v>8</v>
      </c>
      <c r="B26" s="29" t="s">
        <v>259</v>
      </c>
      <c r="C26" s="352" t="s">
        <v>118</v>
      </c>
      <c r="D26" s="353"/>
      <c r="E26" s="34"/>
      <c r="F26" s="184">
        <v>33000</v>
      </c>
    </row>
    <row r="27" spans="1:6" x14ac:dyDescent="0.25">
      <c r="A27" s="354" t="s">
        <v>21</v>
      </c>
      <c r="B27" s="356" t="s">
        <v>263</v>
      </c>
      <c r="C27" s="358" t="s">
        <v>67</v>
      </c>
      <c r="D27" s="359"/>
      <c r="E27" s="34"/>
      <c r="F27" s="183">
        <v>11</v>
      </c>
    </row>
    <row r="28" spans="1:6" ht="15" customHeight="1" thickBot="1" x14ac:dyDescent="0.3">
      <c r="A28" s="355"/>
      <c r="B28" s="357"/>
      <c r="C28" s="352" t="s">
        <v>68</v>
      </c>
      <c r="D28" s="353"/>
      <c r="E28" s="34"/>
      <c r="F28" s="174">
        <v>65</v>
      </c>
    </row>
    <row r="29" spans="1:6" ht="15.75" thickBot="1" x14ac:dyDescent="0.3">
      <c r="A29" s="50" t="s">
        <v>123</v>
      </c>
      <c r="B29" s="30" t="s">
        <v>108</v>
      </c>
      <c r="C29" s="368"/>
      <c r="D29" s="369"/>
      <c r="E29" s="35"/>
      <c r="F29" s="184" t="s">
        <v>367</v>
      </c>
    </row>
    <row r="30" spans="1:6" ht="14.45" customHeight="1" x14ac:dyDescent="0.25">
      <c r="A30" s="354" t="s">
        <v>59</v>
      </c>
      <c r="B30" s="356"/>
      <c r="C30" s="358" t="s">
        <v>58</v>
      </c>
      <c r="D30" s="359"/>
      <c r="E30" s="34"/>
      <c r="F30" s="183">
        <v>252</v>
      </c>
    </row>
    <row r="31" spans="1:6" ht="14.45" customHeight="1" x14ac:dyDescent="0.25">
      <c r="A31" s="362"/>
      <c r="B31" s="363"/>
      <c r="C31" s="364" t="s">
        <v>57</v>
      </c>
      <c r="D31" s="365"/>
      <c r="E31" s="34"/>
      <c r="F31" s="169">
        <v>442.29</v>
      </c>
    </row>
    <row r="32" spans="1:6" ht="14.45" customHeight="1" x14ac:dyDescent="0.25">
      <c r="A32" s="362"/>
      <c r="B32" s="363"/>
      <c r="C32" s="364" t="s">
        <v>69</v>
      </c>
      <c r="D32" s="365"/>
      <c r="E32" s="34"/>
      <c r="F32" s="169">
        <v>90.75</v>
      </c>
    </row>
    <row r="33" spans="1:6" ht="14.45" customHeight="1" x14ac:dyDescent="0.25">
      <c r="A33" s="362"/>
      <c r="B33" s="363"/>
      <c r="C33" s="366" t="s">
        <v>70</v>
      </c>
      <c r="D33" s="367"/>
      <c r="E33" s="34"/>
      <c r="F33" s="169">
        <v>77</v>
      </c>
    </row>
    <row r="34" spans="1:6" ht="15" customHeight="1" thickBot="1" x14ac:dyDescent="0.3">
      <c r="A34" s="355"/>
      <c r="B34" s="357"/>
      <c r="C34" s="352" t="s">
        <v>111</v>
      </c>
      <c r="D34" s="353"/>
      <c r="E34" s="34"/>
      <c r="F34" s="174">
        <v>296.75</v>
      </c>
    </row>
    <row r="35" spans="1:6" ht="15.75" thickBot="1" x14ac:dyDescent="0.3">
      <c r="A35" s="49" t="s">
        <v>224</v>
      </c>
      <c r="B35" s="30" t="s">
        <v>223</v>
      </c>
      <c r="C35" s="368"/>
      <c r="D35" s="369"/>
      <c r="E35" s="35"/>
      <c r="F35" s="184"/>
    </row>
    <row r="36" spans="1:6" ht="14.45" customHeight="1" x14ac:dyDescent="0.25">
      <c r="A36" s="354" t="s">
        <v>11</v>
      </c>
      <c r="B36" s="356"/>
      <c r="C36" s="358" t="s">
        <v>24</v>
      </c>
      <c r="D36" s="359"/>
      <c r="E36" s="34"/>
      <c r="F36" s="183">
        <v>12000</v>
      </c>
    </row>
    <row r="37" spans="1:6" ht="15" customHeight="1" thickBot="1" x14ac:dyDescent="0.3">
      <c r="A37" s="355"/>
      <c r="B37" s="357"/>
      <c r="C37" s="352" t="s">
        <v>22</v>
      </c>
      <c r="D37" s="353"/>
      <c r="E37" s="34"/>
      <c r="F37" s="174">
        <v>12000</v>
      </c>
    </row>
    <row r="38" spans="1:6" ht="14.45" customHeight="1" x14ac:dyDescent="0.25">
      <c r="A38" s="354" t="s">
        <v>16</v>
      </c>
      <c r="B38" s="356"/>
      <c r="C38" s="358" t="s">
        <v>24</v>
      </c>
      <c r="D38" s="359"/>
      <c r="E38" s="34"/>
      <c r="F38" s="183">
        <v>23000</v>
      </c>
    </row>
    <row r="39" spans="1:6" ht="15" customHeight="1" thickBot="1" x14ac:dyDescent="0.3">
      <c r="A39" s="355"/>
      <c r="B39" s="357"/>
      <c r="C39" s="360" t="s">
        <v>23</v>
      </c>
      <c r="D39" s="361"/>
      <c r="E39" s="34"/>
      <c r="F39" s="174">
        <v>23000</v>
      </c>
    </row>
    <row r="40" spans="1:6" ht="15.75" thickBot="1" x14ac:dyDescent="0.3">
      <c r="A40" s="50" t="s">
        <v>52</v>
      </c>
      <c r="B40" s="30" t="s">
        <v>53</v>
      </c>
      <c r="C40" s="368"/>
      <c r="D40" s="369"/>
      <c r="E40" s="35"/>
      <c r="F40" s="184"/>
    </row>
    <row r="41" spans="1:6" ht="14.45" customHeight="1" x14ac:dyDescent="0.25">
      <c r="A41" s="354" t="s">
        <v>219</v>
      </c>
      <c r="B41" s="356" t="s">
        <v>222</v>
      </c>
      <c r="C41" s="358" t="s">
        <v>221</v>
      </c>
      <c r="D41" s="359"/>
      <c r="E41" s="34"/>
      <c r="F41" s="183" t="s">
        <v>466</v>
      </c>
    </row>
    <row r="42" spans="1:6" ht="14.45" customHeight="1" x14ac:dyDescent="0.25">
      <c r="A42" s="362"/>
      <c r="B42" s="363"/>
      <c r="C42" s="364" t="s">
        <v>220</v>
      </c>
      <c r="D42" s="365"/>
      <c r="E42" s="34"/>
      <c r="F42" s="169" t="s">
        <v>425</v>
      </c>
    </row>
    <row r="43" spans="1:6" ht="78" customHeight="1" thickBot="1" x14ac:dyDescent="0.3">
      <c r="A43" s="355"/>
      <c r="B43" s="363"/>
      <c r="C43" s="360"/>
      <c r="D43" s="361"/>
      <c r="E43" s="34"/>
      <c r="F43" s="171"/>
    </row>
    <row r="44" spans="1:6" ht="30.95" customHeight="1" thickBot="1" x14ac:dyDescent="0.3">
      <c r="A44" s="49" t="s">
        <v>219</v>
      </c>
      <c r="B44" s="30" t="s">
        <v>218</v>
      </c>
      <c r="C44" s="368"/>
      <c r="D44" s="369"/>
      <c r="E44" s="35"/>
      <c r="F44" s="184" t="s">
        <v>277</v>
      </c>
    </row>
    <row r="45" spans="1:6" ht="15" customHeight="1" thickBot="1" x14ac:dyDescent="0.3">
      <c r="A45" s="354" t="s">
        <v>12</v>
      </c>
      <c r="B45" s="379" t="s">
        <v>142</v>
      </c>
      <c r="C45" s="358" t="s">
        <v>174</v>
      </c>
      <c r="D45" s="359"/>
      <c r="E45" s="34"/>
      <c r="F45" s="183" t="s">
        <v>278</v>
      </c>
    </row>
    <row r="46" spans="1:6" ht="15" customHeight="1" thickBot="1" x14ac:dyDescent="0.3">
      <c r="A46" s="362"/>
      <c r="B46" s="379"/>
      <c r="C46" s="364" t="s">
        <v>175</v>
      </c>
      <c r="D46" s="365"/>
      <c r="E46" s="34"/>
      <c r="F46" s="169">
        <v>6610</v>
      </c>
    </row>
    <row r="47" spans="1:6" ht="15" customHeight="1" thickBot="1" x14ac:dyDescent="0.3">
      <c r="A47" s="362"/>
      <c r="B47" s="379"/>
      <c r="C47" s="364" t="s">
        <v>176</v>
      </c>
      <c r="D47" s="365"/>
      <c r="E47" s="34"/>
      <c r="F47" s="185" t="s">
        <v>278</v>
      </c>
    </row>
    <row r="48" spans="1:6" ht="15" customHeight="1" thickBot="1" x14ac:dyDescent="0.3">
      <c r="A48" s="362"/>
      <c r="B48" s="379"/>
      <c r="C48" s="364" t="s">
        <v>177</v>
      </c>
      <c r="D48" s="365"/>
      <c r="E48" s="34"/>
      <c r="F48" s="169">
        <v>6005</v>
      </c>
    </row>
    <row r="49" spans="1:6" ht="15" customHeight="1" thickBot="1" x14ac:dyDescent="0.3">
      <c r="A49" s="362"/>
      <c r="B49" s="379"/>
      <c r="C49" s="364" t="s">
        <v>112</v>
      </c>
      <c r="D49" s="365"/>
      <c r="E49" s="34"/>
      <c r="F49" s="169" t="s">
        <v>426</v>
      </c>
    </row>
    <row r="50" spans="1:6" ht="15" customHeight="1" thickBot="1" x14ac:dyDescent="0.3">
      <c r="A50" s="362"/>
      <c r="B50" s="379"/>
      <c r="C50" s="364" t="s">
        <v>113</v>
      </c>
      <c r="D50" s="365"/>
      <c r="E50" s="34"/>
      <c r="F50" s="169" t="s">
        <v>427</v>
      </c>
    </row>
    <row r="51" spans="1:6" ht="15" customHeight="1" thickBot="1" x14ac:dyDescent="0.3">
      <c r="A51" s="362"/>
      <c r="B51" s="379"/>
      <c r="C51" s="366" t="s">
        <v>114</v>
      </c>
      <c r="D51" s="367"/>
      <c r="E51" s="34"/>
      <c r="F51" s="169" t="s">
        <v>426</v>
      </c>
    </row>
    <row r="52" spans="1:6" ht="15" customHeight="1" thickBot="1" x14ac:dyDescent="0.3">
      <c r="A52" s="355"/>
      <c r="B52" s="379"/>
      <c r="C52" s="352" t="s">
        <v>115</v>
      </c>
      <c r="D52" s="353"/>
      <c r="E52" s="34"/>
      <c r="F52" s="174" t="s">
        <v>427</v>
      </c>
    </row>
    <row r="53" spans="1:6" ht="14.45" customHeight="1" x14ac:dyDescent="0.25">
      <c r="A53" s="354" t="s">
        <v>10</v>
      </c>
      <c r="B53" s="356" t="s">
        <v>217</v>
      </c>
      <c r="C53" s="358" t="s">
        <v>116</v>
      </c>
      <c r="D53" s="359"/>
      <c r="E53" s="34"/>
      <c r="F53" s="183">
        <v>1</v>
      </c>
    </row>
    <row r="54" spans="1:6" ht="14.45" customHeight="1" x14ac:dyDescent="0.25">
      <c r="A54" s="362"/>
      <c r="B54" s="363"/>
      <c r="C54" s="364" t="s">
        <v>117</v>
      </c>
      <c r="D54" s="365"/>
      <c r="E54" s="34"/>
      <c r="F54" s="169" t="s">
        <v>197</v>
      </c>
    </row>
    <row r="55" spans="1:6" ht="15" customHeight="1" thickBot="1" x14ac:dyDescent="0.3">
      <c r="A55" s="355"/>
      <c r="B55" s="363"/>
      <c r="C55" s="360" t="s">
        <v>71</v>
      </c>
      <c r="D55" s="361"/>
      <c r="E55" s="34"/>
      <c r="F55" s="171" t="s">
        <v>467</v>
      </c>
    </row>
    <row r="56" spans="1:6" ht="78" customHeight="1" thickBot="1" x14ac:dyDescent="0.3">
      <c r="A56" s="51" t="s">
        <v>185</v>
      </c>
      <c r="B56" s="28" t="s">
        <v>186</v>
      </c>
      <c r="C56" s="366" t="s">
        <v>187</v>
      </c>
      <c r="D56" s="367"/>
      <c r="E56" s="34"/>
      <c r="F56" s="183">
        <v>120</v>
      </c>
    </row>
    <row r="57" spans="1:6" ht="52.5" customHeight="1" x14ac:dyDescent="0.25">
      <c r="A57" s="354" t="s">
        <v>26</v>
      </c>
      <c r="B57" s="356" t="s">
        <v>253</v>
      </c>
      <c r="C57" s="358" t="s">
        <v>188</v>
      </c>
      <c r="D57" s="359"/>
      <c r="E57" s="34"/>
      <c r="F57" s="183" t="s">
        <v>468</v>
      </c>
    </row>
    <row r="58" spans="1:6" ht="14.45" customHeight="1" x14ac:dyDescent="0.25">
      <c r="A58" s="362"/>
      <c r="B58" s="363"/>
      <c r="C58" s="364" t="s">
        <v>189</v>
      </c>
      <c r="D58" s="365"/>
      <c r="E58" s="34"/>
      <c r="F58" s="169" t="s">
        <v>469</v>
      </c>
    </row>
    <row r="59" spans="1:6" ht="15" customHeight="1" thickBot="1" x14ac:dyDescent="0.3">
      <c r="A59" s="355"/>
      <c r="B59" s="357"/>
      <c r="C59" s="352" t="s">
        <v>190</v>
      </c>
      <c r="D59" s="353"/>
      <c r="E59" s="34"/>
      <c r="F59" s="174">
        <v>700</v>
      </c>
    </row>
    <row r="60" spans="1:6" ht="15.75" thickBot="1" x14ac:dyDescent="0.3">
      <c r="A60" s="50" t="s">
        <v>44</v>
      </c>
      <c r="B60" s="30" t="s">
        <v>45</v>
      </c>
      <c r="C60" s="368"/>
      <c r="D60" s="369"/>
      <c r="E60" s="35"/>
      <c r="F60" s="186"/>
    </row>
    <row r="61" spans="1:6" ht="28.5" customHeight="1" thickBot="1" x14ac:dyDescent="0.3">
      <c r="A61" s="50" t="s">
        <v>44</v>
      </c>
      <c r="B61" s="30" t="s">
        <v>63</v>
      </c>
      <c r="C61" s="368"/>
      <c r="D61" s="369"/>
      <c r="E61" s="35"/>
      <c r="F61" s="186"/>
    </row>
    <row r="62" spans="1:6" ht="27" customHeight="1" thickBot="1" x14ac:dyDescent="0.3">
      <c r="A62" s="50" t="s">
        <v>44</v>
      </c>
      <c r="B62" s="30" t="s">
        <v>64</v>
      </c>
      <c r="C62" s="368"/>
      <c r="D62" s="369"/>
      <c r="E62" s="35"/>
      <c r="F62" s="186"/>
    </row>
    <row r="63" spans="1:6" ht="30.95" customHeight="1" thickBot="1" x14ac:dyDescent="0.3">
      <c r="A63" s="50" t="s">
        <v>50</v>
      </c>
      <c r="B63" s="30" t="s">
        <v>216</v>
      </c>
      <c r="C63" s="368"/>
      <c r="D63" s="369"/>
      <c r="E63" s="35"/>
      <c r="F63" s="186"/>
    </row>
    <row r="64" spans="1:6" ht="16.5" customHeight="1" thickBot="1" x14ac:dyDescent="0.3">
      <c r="A64" s="50" t="s">
        <v>27</v>
      </c>
      <c r="B64" s="30" t="s">
        <v>215</v>
      </c>
      <c r="C64" s="380" t="s">
        <v>77</v>
      </c>
      <c r="D64" s="381"/>
      <c r="E64" s="34"/>
      <c r="F64" s="184" t="s">
        <v>432</v>
      </c>
    </row>
    <row r="65" spans="1:6" ht="53.45" customHeight="1" thickBot="1" x14ac:dyDescent="0.3">
      <c r="A65" s="49" t="s">
        <v>214</v>
      </c>
      <c r="B65" s="30" t="s">
        <v>213</v>
      </c>
      <c r="C65" s="380"/>
      <c r="D65" s="381"/>
      <c r="E65" s="34"/>
      <c r="F65" s="184"/>
    </row>
    <row r="66" spans="1:6" ht="42.6" customHeight="1" thickBot="1" x14ac:dyDescent="0.3">
      <c r="A66" s="50" t="s">
        <v>51</v>
      </c>
      <c r="B66" s="30" t="s">
        <v>212</v>
      </c>
      <c r="C66" s="368"/>
      <c r="D66" s="369"/>
      <c r="E66" s="35"/>
      <c r="F66" s="184"/>
    </row>
    <row r="67" spans="1:6" ht="40.5" customHeight="1" thickBot="1" x14ac:dyDescent="0.3">
      <c r="A67" s="50" t="s">
        <v>54</v>
      </c>
      <c r="B67" s="30" t="s">
        <v>80</v>
      </c>
      <c r="C67" s="368"/>
      <c r="D67" s="369"/>
      <c r="E67" s="35"/>
      <c r="F67" s="184"/>
    </row>
    <row r="68" spans="1:6" ht="90" thickBot="1" x14ac:dyDescent="0.3">
      <c r="A68" s="50" t="s">
        <v>29</v>
      </c>
      <c r="B68" s="30" t="s">
        <v>211</v>
      </c>
      <c r="C68" s="368"/>
      <c r="D68" s="369"/>
      <c r="E68" s="35"/>
      <c r="F68" s="184"/>
    </row>
    <row r="69" spans="1:6" ht="54.6" customHeight="1" thickBot="1" x14ac:dyDescent="0.3">
      <c r="A69" s="50" t="s">
        <v>31</v>
      </c>
      <c r="B69" s="30" t="s">
        <v>210</v>
      </c>
      <c r="C69" s="380" t="s">
        <v>30</v>
      </c>
      <c r="D69" s="381"/>
      <c r="E69" s="34"/>
      <c r="F69" s="184" t="s">
        <v>435</v>
      </c>
    </row>
    <row r="70" spans="1:6" ht="30" customHeight="1" thickBot="1" x14ac:dyDescent="0.3">
      <c r="A70" s="50" t="s">
        <v>55</v>
      </c>
      <c r="B70" s="30" t="s">
        <v>95</v>
      </c>
      <c r="C70" s="368"/>
      <c r="D70" s="369"/>
      <c r="E70" s="35"/>
      <c r="F70" s="184"/>
    </row>
    <row r="71" spans="1:6" ht="28.5" customHeight="1" thickBot="1" x14ac:dyDescent="0.3">
      <c r="A71" s="50" t="s">
        <v>32</v>
      </c>
      <c r="B71" s="30" t="s">
        <v>96</v>
      </c>
      <c r="C71" s="380" t="s">
        <v>30</v>
      </c>
      <c r="D71" s="381"/>
      <c r="E71" s="34"/>
      <c r="F71" s="184" t="s">
        <v>436</v>
      </c>
    </row>
    <row r="72" spans="1:6" ht="42.6" customHeight="1" thickBot="1" x14ac:dyDescent="0.3">
      <c r="A72" s="50" t="s">
        <v>56</v>
      </c>
      <c r="B72" s="30" t="s">
        <v>167</v>
      </c>
      <c r="C72" s="368"/>
      <c r="D72" s="369"/>
      <c r="E72" s="35"/>
      <c r="F72" s="184"/>
    </row>
    <row r="73" spans="1:6" ht="28.5" customHeight="1" thickBot="1" x14ac:dyDescent="0.3">
      <c r="A73" s="50" t="s">
        <v>48</v>
      </c>
      <c r="B73" s="30" t="s">
        <v>47</v>
      </c>
      <c r="C73" s="368"/>
      <c r="D73" s="369"/>
      <c r="E73" s="35"/>
      <c r="F73" s="184"/>
    </row>
    <row r="74" spans="1:6" ht="31.5" customHeight="1" thickBot="1" x14ac:dyDescent="0.3">
      <c r="A74" s="50" t="s">
        <v>49</v>
      </c>
      <c r="B74" s="30" t="s">
        <v>103</v>
      </c>
      <c r="C74" s="368" t="s">
        <v>198</v>
      </c>
      <c r="D74" s="369"/>
      <c r="E74" s="35"/>
      <c r="F74" s="184" t="s">
        <v>280</v>
      </c>
    </row>
    <row r="75" spans="1:6" ht="26.25" thickBot="1" x14ac:dyDescent="0.3">
      <c r="A75" s="50" t="s">
        <v>46</v>
      </c>
      <c r="B75" s="30" t="s">
        <v>81</v>
      </c>
      <c r="C75" s="368"/>
      <c r="D75" s="369"/>
      <c r="E75" s="35"/>
      <c r="F75" s="184"/>
    </row>
    <row r="76" spans="1:6" ht="15.75" thickBot="1" x14ac:dyDescent="0.3"/>
    <row r="77" spans="1:6" ht="15.95" customHeight="1" thickBot="1" x14ac:dyDescent="0.3">
      <c r="A77" s="373" t="s">
        <v>168</v>
      </c>
      <c r="B77" s="374"/>
      <c r="C77" s="374"/>
      <c r="D77" s="375"/>
      <c r="E77" s="38"/>
      <c r="F77" s="181" t="s">
        <v>420</v>
      </c>
    </row>
    <row r="78" spans="1:6" ht="15" customHeight="1" thickBot="1" x14ac:dyDescent="0.3">
      <c r="A78" s="382" t="s">
        <v>169</v>
      </c>
      <c r="B78" s="383"/>
      <c r="C78" s="383"/>
      <c r="D78" s="384"/>
      <c r="E78" s="39"/>
      <c r="F78" s="188" t="s">
        <v>207</v>
      </c>
    </row>
    <row r="79" spans="1:6" ht="14.45" customHeight="1" x14ac:dyDescent="0.25">
      <c r="A79" s="385" t="s">
        <v>83</v>
      </c>
      <c r="B79" s="386"/>
      <c r="C79" s="386"/>
      <c r="D79" s="387"/>
      <c r="F79" s="189">
        <f>-1337.32*('PPI Adj'!D6)</f>
        <v>-1560.6524400000001</v>
      </c>
    </row>
    <row r="80" spans="1:6" ht="14.45" customHeight="1" x14ac:dyDescent="0.25">
      <c r="A80" s="388" t="s">
        <v>34</v>
      </c>
      <c r="B80" s="389"/>
      <c r="C80" s="389"/>
      <c r="D80" s="390"/>
      <c r="F80" s="190">
        <f>544.44*('PPI Adj'!D6)</f>
        <v>635.36148000000003</v>
      </c>
    </row>
    <row r="81" spans="1:6" x14ac:dyDescent="0.25">
      <c r="A81" s="388" t="s">
        <v>35</v>
      </c>
      <c r="B81" s="389"/>
      <c r="C81" s="389"/>
      <c r="D81" s="390"/>
      <c r="F81" s="190">
        <f>648.18*('PPI Adj'!D6)</f>
        <v>756.42606000000001</v>
      </c>
    </row>
    <row r="82" spans="1:6" x14ac:dyDescent="0.25">
      <c r="A82" s="388" t="s">
        <v>36</v>
      </c>
      <c r="B82" s="389"/>
      <c r="C82" s="389"/>
      <c r="D82" s="390"/>
      <c r="F82" s="190">
        <f>1340.82*('PPI Adj'!D6)</f>
        <v>1564.73694</v>
      </c>
    </row>
    <row r="83" spans="1:6" ht="14.45" customHeight="1" x14ac:dyDescent="0.25">
      <c r="A83" s="388" t="s">
        <v>209</v>
      </c>
      <c r="B83" s="389"/>
      <c r="C83" s="389"/>
      <c r="D83" s="390"/>
      <c r="F83" s="190">
        <f>655.98*('PPI Adj'!D6)</f>
        <v>765.52866000000006</v>
      </c>
    </row>
    <row r="84" spans="1:6" x14ac:dyDescent="0.25">
      <c r="A84" s="388" t="s">
        <v>208</v>
      </c>
      <c r="B84" s="389"/>
      <c r="C84" s="389"/>
      <c r="D84" s="390"/>
      <c r="F84" s="190" t="s">
        <v>183</v>
      </c>
    </row>
    <row r="85" spans="1:6" ht="14.45" customHeight="1" x14ac:dyDescent="0.25">
      <c r="A85" s="388" t="s">
        <v>86</v>
      </c>
      <c r="B85" s="389"/>
      <c r="C85" s="389"/>
      <c r="D85" s="390"/>
      <c r="F85" s="190">
        <f>1202.76*('PPI Adj'!D6)</f>
        <v>1403.6209200000001</v>
      </c>
    </row>
    <row r="86" spans="1:6" ht="14.45" customHeight="1" x14ac:dyDescent="0.25">
      <c r="A86" s="388" t="s">
        <v>85</v>
      </c>
      <c r="B86" s="389"/>
      <c r="C86" s="389"/>
      <c r="D86" s="390"/>
      <c r="F86" s="190">
        <f>5086.97*('PPI Adj'!D6)</f>
        <v>5936.4939900000008</v>
      </c>
    </row>
    <row r="87" spans="1:6" x14ac:dyDescent="0.25">
      <c r="A87" s="388" t="s">
        <v>13</v>
      </c>
      <c r="B87" s="389"/>
      <c r="C87" s="389"/>
      <c r="D87" s="390"/>
      <c r="F87" s="190">
        <f>6533.28*('PPI Adj'!D6)</f>
        <v>7624.3377600000003</v>
      </c>
    </row>
    <row r="88" spans="1:6" ht="14.45" customHeight="1" x14ac:dyDescent="0.25">
      <c r="A88" s="388" t="s">
        <v>37</v>
      </c>
      <c r="B88" s="389"/>
      <c r="C88" s="389"/>
      <c r="D88" s="390"/>
      <c r="F88" s="190">
        <f>97.5*('PPI Adj'!D6)</f>
        <v>113.7825</v>
      </c>
    </row>
    <row r="89" spans="1:6" x14ac:dyDescent="0.25">
      <c r="A89" s="388" t="s">
        <v>38</v>
      </c>
      <c r="B89" s="389"/>
      <c r="C89" s="389"/>
      <c r="D89" s="390"/>
      <c r="F89" s="190">
        <f>397.8*('PPI Adj'!D6)</f>
        <v>464.23260000000005</v>
      </c>
    </row>
    <row r="90" spans="1:6" x14ac:dyDescent="0.25">
      <c r="A90" s="388" t="s">
        <v>201</v>
      </c>
      <c r="B90" s="389"/>
      <c r="C90" s="389"/>
      <c r="D90" s="390"/>
      <c r="F90" s="190" t="s">
        <v>183</v>
      </c>
    </row>
    <row r="91" spans="1:6" x14ac:dyDescent="0.25">
      <c r="A91" s="388" t="s">
        <v>39</v>
      </c>
      <c r="B91" s="389"/>
      <c r="C91" s="389"/>
      <c r="D91" s="390"/>
      <c r="F91" s="190">
        <f>723.06*('PPI Adj'!D6)</f>
        <v>843.81101999999998</v>
      </c>
    </row>
    <row r="92" spans="1:6" x14ac:dyDescent="0.25">
      <c r="A92" s="388" t="s">
        <v>40</v>
      </c>
      <c r="B92" s="389"/>
      <c r="C92" s="389"/>
      <c r="D92" s="390"/>
      <c r="F92" s="190">
        <f>578.76*('PPI Adj'!D6)</f>
        <v>675.41291999999999</v>
      </c>
    </row>
    <row r="93" spans="1:6" x14ac:dyDescent="0.25">
      <c r="A93" s="388" t="s">
        <v>14</v>
      </c>
      <c r="B93" s="389"/>
      <c r="C93" s="389"/>
      <c r="D93" s="390"/>
      <c r="F93" s="190">
        <f>21524.55*('PPI Adj'!D6)</f>
        <v>25119.149850000002</v>
      </c>
    </row>
    <row r="94" spans="1:6" ht="14.45" customHeight="1" x14ac:dyDescent="0.25">
      <c r="A94" s="388" t="s">
        <v>91</v>
      </c>
      <c r="B94" s="389"/>
      <c r="C94" s="389"/>
      <c r="D94" s="390"/>
      <c r="F94" s="190">
        <f>1800*('PPI Adj'!D6)</f>
        <v>2100.6</v>
      </c>
    </row>
    <row r="95" spans="1:6" ht="14.45" customHeight="1" x14ac:dyDescent="0.25">
      <c r="A95" s="394" t="s">
        <v>275</v>
      </c>
      <c r="B95" s="395"/>
      <c r="C95" s="395"/>
      <c r="D95" s="396"/>
      <c r="F95" s="190">
        <f>-413.21*('PPI Adj'!D6)</f>
        <v>-482.21607</v>
      </c>
    </row>
    <row r="96" spans="1:6" ht="15" customHeight="1" thickBot="1" x14ac:dyDescent="0.3">
      <c r="A96" s="391" t="s">
        <v>92</v>
      </c>
      <c r="B96" s="392"/>
      <c r="C96" s="392"/>
      <c r="D96" s="393"/>
      <c r="F96" s="191">
        <f>1013.03*('PPI Adj'!D6)</f>
        <v>1182.2060100000001</v>
      </c>
    </row>
    <row r="97" spans="1:6" ht="15.75" thickBot="1" x14ac:dyDescent="0.3"/>
    <row r="98" spans="1:6" ht="15.95" customHeight="1" thickBot="1" x14ac:dyDescent="0.3">
      <c r="A98" s="373" t="s">
        <v>166</v>
      </c>
      <c r="B98" s="374"/>
      <c r="C98" s="374"/>
      <c r="D98" s="375"/>
      <c r="E98" s="38"/>
      <c r="F98" s="181" t="s">
        <v>420</v>
      </c>
    </row>
    <row r="99" spans="1:6" ht="15" customHeight="1" thickBot="1" x14ac:dyDescent="0.3">
      <c r="A99" s="52" t="s">
        <v>33</v>
      </c>
      <c r="B99" s="24" t="s">
        <v>7</v>
      </c>
      <c r="C99" s="397" t="s">
        <v>165</v>
      </c>
      <c r="D99" s="398"/>
      <c r="E99" s="39"/>
      <c r="F99" s="188" t="s">
        <v>207</v>
      </c>
    </row>
    <row r="100" spans="1:6" ht="41.1" customHeight="1" thickBot="1" x14ac:dyDescent="0.3">
      <c r="A100" s="53" t="s">
        <v>83</v>
      </c>
      <c r="B100" s="23" t="s">
        <v>146</v>
      </c>
      <c r="C100" s="399"/>
      <c r="D100" s="400"/>
      <c r="F100" s="184" t="s">
        <v>438</v>
      </c>
    </row>
    <row r="101" spans="1:6" ht="26.25" thickBot="1" x14ac:dyDescent="0.3">
      <c r="A101" s="50" t="s">
        <v>34</v>
      </c>
      <c r="B101" s="30" t="s">
        <v>107</v>
      </c>
      <c r="C101" s="380" t="s">
        <v>30</v>
      </c>
      <c r="D101" s="381"/>
      <c r="F101" s="184" t="s">
        <v>439</v>
      </c>
    </row>
    <row r="102" spans="1:6" ht="53.1" customHeight="1" thickBot="1" x14ac:dyDescent="0.3">
      <c r="A102" s="50" t="s">
        <v>35</v>
      </c>
      <c r="B102" s="30" t="s">
        <v>97</v>
      </c>
      <c r="C102" s="368"/>
      <c r="D102" s="369"/>
      <c r="F102" s="184"/>
    </row>
    <row r="103" spans="1:6" ht="27.95" customHeight="1" thickBot="1" x14ac:dyDescent="0.3">
      <c r="A103" s="50" t="s">
        <v>36</v>
      </c>
      <c r="B103" s="30" t="s">
        <v>84</v>
      </c>
      <c r="C103" s="380" t="s">
        <v>99</v>
      </c>
      <c r="D103" s="381"/>
      <c r="F103" s="184" t="s">
        <v>441</v>
      </c>
    </row>
    <row r="104" spans="1:6" ht="14.45" customHeight="1" x14ac:dyDescent="0.25">
      <c r="A104" s="354" t="s">
        <v>60</v>
      </c>
      <c r="B104" s="356" t="s">
        <v>133</v>
      </c>
      <c r="C104" s="358" t="s">
        <v>203</v>
      </c>
      <c r="D104" s="359"/>
      <c r="F104" s="183" t="s">
        <v>278</v>
      </c>
    </row>
    <row r="105" spans="1:6" ht="14.45" customHeight="1" x14ac:dyDescent="0.25">
      <c r="A105" s="362"/>
      <c r="B105" s="363"/>
      <c r="C105" s="364" t="s">
        <v>202</v>
      </c>
      <c r="D105" s="365"/>
      <c r="F105" s="169">
        <v>6005</v>
      </c>
    </row>
    <row r="106" spans="1:6" ht="14.45" customHeight="1" x14ac:dyDescent="0.25">
      <c r="A106" s="362"/>
      <c r="B106" s="363"/>
      <c r="C106" s="364" t="s">
        <v>114</v>
      </c>
      <c r="D106" s="365"/>
      <c r="F106" s="169" t="s">
        <v>442</v>
      </c>
    </row>
    <row r="107" spans="1:6" ht="24.95" customHeight="1" thickBot="1" x14ac:dyDescent="0.3">
      <c r="A107" s="355"/>
      <c r="B107" s="357"/>
      <c r="C107" s="352" t="s">
        <v>115</v>
      </c>
      <c r="D107" s="353"/>
      <c r="F107" s="174" t="s">
        <v>443</v>
      </c>
    </row>
    <row r="108" spans="1:6" ht="14.45" customHeight="1" x14ac:dyDescent="0.25">
      <c r="A108" s="354" t="s">
        <v>61</v>
      </c>
      <c r="B108" s="356" t="s">
        <v>206</v>
      </c>
      <c r="C108" s="358" t="s">
        <v>205</v>
      </c>
      <c r="D108" s="359"/>
      <c r="F108" s="183"/>
    </row>
    <row r="109" spans="1:6" ht="14.45" customHeight="1" x14ac:dyDescent="0.25">
      <c r="A109" s="362"/>
      <c r="B109" s="363"/>
      <c r="C109" s="364" t="s">
        <v>204</v>
      </c>
      <c r="D109" s="365"/>
      <c r="F109" s="185"/>
    </row>
    <row r="110" spans="1:6" ht="14.45" customHeight="1" x14ac:dyDescent="0.25">
      <c r="A110" s="362"/>
      <c r="B110" s="363"/>
      <c r="C110" s="364" t="s">
        <v>203</v>
      </c>
      <c r="D110" s="365"/>
      <c r="F110" s="185"/>
    </row>
    <row r="111" spans="1:6" ht="14.45" customHeight="1" x14ac:dyDescent="0.25">
      <c r="A111" s="362"/>
      <c r="B111" s="363"/>
      <c r="C111" s="364" t="s">
        <v>202</v>
      </c>
      <c r="D111" s="365"/>
      <c r="F111" s="169"/>
    </row>
    <row r="112" spans="1:6" ht="14.45" customHeight="1" x14ac:dyDescent="0.25">
      <c r="A112" s="362"/>
      <c r="B112" s="363"/>
      <c r="C112" s="364" t="s">
        <v>112</v>
      </c>
      <c r="D112" s="365"/>
      <c r="F112" s="169"/>
    </row>
    <row r="113" spans="1:6" ht="14.45" customHeight="1" x14ac:dyDescent="0.25">
      <c r="A113" s="362"/>
      <c r="B113" s="363"/>
      <c r="C113" s="364" t="s">
        <v>113</v>
      </c>
      <c r="D113" s="365"/>
      <c r="F113" s="185"/>
    </row>
    <row r="114" spans="1:6" ht="14.45" customHeight="1" x14ac:dyDescent="0.25">
      <c r="A114" s="362"/>
      <c r="B114" s="363"/>
      <c r="C114" s="364" t="s">
        <v>114</v>
      </c>
      <c r="D114" s="365"/>
      <c r="F114" s="185"/>
    </row>
    <row r="115" spans="1:6" ht="15" customHeight="1" thickBot="1" x14ac:dyDescent="0.3">
      <c r="A115" s="355"/>
      <c r="B115" s="357"/>
      <c r="C115" s="352" t="s">
        <v>115</v>
      </c>
      <c r="D115" s="353"/>
      <c r="F115" s="174"/>
    </row>
    <row r="116" spans="1:6" ht="143.44999999999999" customHeight="1" thickBot="1" x14ac:dyDescent="0.3">
      <c r="A116" s="54" t="s">
        <v>86</v>
      </c>
      <c r="B116" s="18" t="s">
        <v>143</v>
      </c>
      <c r="C116" s="380" t="s">
        <v>104</v>
      </c>
      <c r="D116" s="381"/>
      <c r="F116" s="183" t="s">
        <v>444</v>
      </c>
    </row>
    <row r="117" spans="1:6" ht="168.6" customHeight="1" thickBot="1" x14ac:dyDescent="0.3">
      <c r="A117" s="50" t="s">
        <v>85</v>
      </c>
      <c r="B117" s="14" t="s">
        <v>170</v>
      </c>
      <c r="C117" s="380" t="s">
        <v>104</v>
      </c>
      <c r="D117" s="381"/>
      <c r="F117" s="184" t="s">
        <v>464</v>
      </c>
    </row>
    <row r="118" spans="1:6" ht="29.1" customHeight="1" x14ac:dyDescent="0.25">
      <c r="A118" s="354" t="s">
        <v>13</v>
      </c>
      <c r="B118" s="356" t="s">
        <v>98</v>
      </c>
      <c r="C118" s="358" t="s">
        <v>30</v>
      </c>
      <c r="D118" s="359"/>
      <c r="F118" s="183" t="s">
        <v>446</v>
      </c>
    </row>
    <row r="119" spans="1:6" ht="24.6" customHeight="1" thickBot="1" x14ac:dyDescent="0.3">
      <c r="A119" s="355"/>
      <c r="B119" s="357"/>
      <c r="C119" s="352" t="s">
        <v>109</v>
      </c>
      <c r="D119" s="353"/>
      <c r="F119" s="174">
        <v>1000</v>
      </c>
    </row>
    <row r="120" spans="1:6" ht="66" customHeight="1" thickBot="1" x14ac:dyDescent="0.3">
      <c r="A120" s="50" t="s">
        <v>37</v>
      </c>
      <c r="B120" s="30" t="s">
        <v>135</v>
      </c>
      <c r="C120" s="368"/>
      <c r="D120" s="369"/>
      <c r="F120" s="184" t="s">
        <v>447</v>
      </c>
    </row>
    <row r="121" spans="1:6" ht="40.5" customHeight="1" thickBot="1" x14ac:dyDescent="0.3">
      <c r="A121" s="50" t="s">
        <v>38</v>
      </c>
      <c r="B121" s="30" t="s">
        <v>87</v>
      </c>
      <c r="C121" s="368"/>
      <c r="D121" s="369"/>
      <c r="F121" s="184"/>
    </row>
    <row r="122" spans="1:6" ht="15.75" thickBot="1" x14ac:dyDescent="0.3">
      <c r="A122" s="50" t="s">
        <v>201</v>
      </c>
      <c r="B122" s="30" t="s">
        <v>200</v>
      </c>
      <c r="C122" s="380"/>
      <c r="D122" s="381"/>
      <c r="F122" s="184"/>
    </row>
    <row r="123" spans="1:6" ht="27.95" customHeight="1" thickBot="1" x14ac:dyDescent="0.3">
      <c r="A123" s="50" t="s">
        <v>39</v>
      </c>
      <c r="B123" s="30" t="s">
        <v>106</v>
      </c>
      <c r="C123" s="380" t="s">
        <v>105</v>
      </c>
      <c r="D123" s="381"/>
      <c r="F123" s="184" t="s">
        <v>184</v>
      </c>
    </row>
    <row r="124" spans="1:6" ht="39" thickBot="1" x14ac:dyDescent="0.3">
      <c r="A124" s="50" t="s">
        <v>40</v>
      </c>
      <c r="B124" s="30" t="s">
        <v>137</v>
      </c>
      <c r="C124" s="380" t="s">
        <v>100</v>
      </c>
      <c r="D124" s="381"/>
      <c r="F124" s="174" t="s">
        <v>457</v>
      </c>
    </row>
    <row r="125" spans="1:6" ht="54.95" customHeight="1" x14ac:dyDescent="0.25">
      <c r="A125" s="450" t="s">
        <v>14</v>
      </c>
      <c r="B125" s="356" t="s">
        <v>138</v>
      </c>
      <c r="C125" s="358" t="s">
        <v>139</v>
      </c>
      <c r="D125" s="431"/>
      <c r="F125" s="183">
        <v>2</v>
      </c>
    </row>
    <row r="126" spans="1:6" ht="54.95" customHeight="1" thickBot="1" x14ac:dyDescent="0.3">
      <c r="A126" s="451"/>
      <c r="B126" s="357"/>
      <c r="C126" s="352" t="s">
        <v>279</v>
      </c>
      <c r="D126" s="452"/>
      <c r="F126" s="174" t="s">
        <v>280</v>
      </c>
    </row>
    <row r="127" spans="1:6" ht="66" customHeight="1" thickBot="1" x14ac:dyDescent="0.3">
      <c r="A127" s="50" t="s">
        <v>91</v>
      </c>
      <c r="B127" s="30" t="s">
        <v>144</v>
      </c>
      <c r="C127" s="380" t="s">
        <v>100</v>
      </c>
      <c r="D127" s="381"/>
      <c r="F127" s="184" t="s">
        <v>359</v>
      </c>
    </row>
    <row r="128" spans="1:6" ht="68.45" customHeight="1" thickBot="1" x14ac:dyDescent="0.3">
      <c r="A128" s="50" t="s">
        <v>92</v>
      </c>
      <c r="B128" s="30" t="s">
        <v>145</v>
      </c>
      <c r="C128" s="368"/>
      <c r="D128" s="369"/>
      <c r="F128" s="184"/>
    </row>
  </sheetData>
  <sheetProtection algorithmName="SHA-512" hashValue="EnAVQ2DLXvDZvYWX8u4mwOJ7LKVhL3dDOeyTtoRk8cpsO56TJYNuurAWRP7xk1qlXTzyxgVAwKo7sI2SfI4KYQ==" saltValue="grHwTC3//P62q7GFZ3Dm7A==" spinCount="100000" sheet="1" objects="1" scenarios="1"/>
  <mergeCells count="143">
    <mergeCell ref="C27:D27"/>
    <mergeCell ref="C28:D28"/>
    <mergeCell ref="B11:D11"/>
    <mergeCell ref="A3:D3"/>
    <mergeCell ref="A4:D4"/>
    <mergeCell ref="A6:D6"/>
    <mergeCell ref="B8:D8"/>
    <mergeCell ref="B9:D9"/>
    <mergeCell ref="B10:D10"/>
    <mergeCell ref="B13:D13"/>
    <mergeCell ref="B14:D14"/>
    <mergeCell ref="B41:B43"/>
    <mergeCell ref="C41:D41"/>
    <mergeCell ref="C42:D42"/>
    <mergeCell ref="B12:D12"/>
    <mergeCell ref="B21:D21"/>
    <mergeCell ref="B22:D22"/>
    <mergeCell ref="A24:D24"/>
    <mergeCell ref="B15:D15"/>
    <mergeCell ref="B16:D16"/>
    <mergeCell ref="B17:D17"/>
    <mergeCell ref="A19:D19"/>
    <mergeCell ref="C40:D40"/>
    <mergeCell ref="C29:D29"/>
    <mergeCell ref="A30:A34"/>
    <mergeCell ref="B30:B34"/>
    <mergeCell ref="C30:D30"/>
    <mergeCell ref="C31:D31"/>
    <mergeCell ref="C32:D32"/>
    <mergeCell ref="C33:D33"/>
    <mergeCell ref="C34:D34"/>
    <mergeCell ref="C25:D25"/>
    <mergeCell ref="C26:D26"/>
    <mergeCell ref="A27:A28"/>
    <mergeCell ref="B27:B28"/>
    <mergeCell ref="C35:D35"/>
    <mergeCell ref="A36:A37"/>
    <mergeCell ref="B36:B37"/>
    <mergeCell ref="C36:D36"/>
    <mergeCell ref="C37:D37"/>
    <mergeCell ref="A38:A39"/>
    <mergeCell ref="B38:B39"/>
    <mergeCell ref="C38:D38"/>
    <mergeCell ref="C39:D39"/>
    <mergeCell ref="C64:D64"/>
    <mergeCell ref="C65:D65"/>
    <mergeCell ref="C66:D66"/>
    <mergeCell ref="C67:D67"/>
    <mergeCell ref="C68:D68"/>
    <mergeCell ref="C61:D61"/>
    <mergeCell ref="C62:D62"/>
    <mergeCell ref="C63:D63"/>
    <mergeCell ref="C60:D60"/>
    <mergeCell ref="C43:D43"/>
    <mergeCell ref="A53:A55"/>
    <mergeCell ref="B53:B55"/>
    <mergeCell ref="C53:D53"/>
    <mergeCell ref="C54:D54"/>
    <mergeCell ref="C55:D55"/>
    <mergeCell ref="C56:D56"/>
    <mergeCell ref="A57:A59"/>
    <mergeCell ref="B57:B59"/>
    <mergeCell ref="C57:D57"/>
    <mergeCell ref="C58:D58"/>
    <mergeCell ref="C59:D59"/>
    <mergeCell ref="C52:D52"/>
    <mergeCell ref="C44:D44"/>
    <mergeCell ref="A45:A52"/>
    <mergeCell ref="B45:B52"/>
    <mergeCell ref="C45:D45"/>
    <mergeCell ref="C46:D46"/>
    <mergeCell ref="C47:D47"/>
    <mergeCell ref="C48:D48"/>
    <mergeCell ref="C49:D49"/>
    <mergeCell ref="C50:D50"/>
    <mergeCell ref="C51:D51"/>
    <mergeCell ref="A41:A43"/>
    <mergeCell ref="C69:D69"/>
    <mergeCell ref="C70:D70"/>
    <mergeCell ref="C71:D71"/>
    <mergeCell ref="C72:D72"/>
    <mergeCell ref="C73:D73"/>
    <mergeCell ref="C74:D74"/>
    <mergeCell ref="C75:D75"/>
    <mergeCell ref="A77:D77"/>
    <mergeCell ref="A78:D78"/>
    <mergeCell ref="A93:D93"/>
    <mergeCell ref="A94:D94"/>
    <mergeCell ref="A96:D96"/>
    <mergeCell ref="A79:D79"/>
    <mergeCell ref="A80:D80"/>
    <mergeCell ref="A81:D81"/>
    <mergeCell ref="A82:D82"/>
    <mergeCell ref="A83:D83"/>
    <mergeCell ref="A84:D84"/>
    <mergeCell ref="A85:D85"/>
    <mergeCell ref="A88:D88"/>
    <mergeCell ref="A89:D89"/>
    <mergeCell ref="A90:D90"/>
    <mergeCell ref="A91:D91"/>
    <mergeCell ref="A92:D92"/>
    <mergeCell ref="A86:D86"/>
    <mergeCell ref="A87:D87"/>
    <mergeCell ref="A95:D95"/>
    <mergeCell ref="A104:A107"/>
    <mergeCell ref="B104:B107"/>
    <mergeCell ref="C104:D104"/>
    <mergeCell ref="C105:D105"/>
    <mergeCell ref="C106:D106"/>
    <mergeCell ref="C107:D107"/>
    <mergeCell ref="A98:D98"/>
    <mergeCell ref="C99:D99"/>
    <mergeCell ref="C100:D100"/>
    <mergeCell ref="C101:D101"/>
    <mergeCell ref="C102:D102"/>
    <mergeCell ref="C103:D103"/>
    <mergeCell ref="C116:D116"/>
    <mergeCell ref="C117:D117"/>
    <mergeCell ref="A118:A119"/>
    <mergeCell ref="B118:B119"/>
    <mergeCell ref="C118:D118"/>
    <mergeCell ref="C119:D119"/>
    <mergeCell ref="A108:A115"/>
    <mergeCell ref="B108:B115"/>
    <mergeCell ref="C108:D108"/>
    <mergeCell ref="C109:D109"/>
    <mergeCell ref="C110:D110"/>
    <mergeCell ref="C111:D111"/>
    <mergeCell ref="C112:D112"/>
    <mergeCell ref="C113:D113"/>
    <mergeCell ref="C114:D114"/>
    <mergeCell ref="C115:D115"/>
    <mergeCell ref="C124:D124"/>
    <mergeCell ref="C125:D125"/>
    <mergeCell ref="C127:D127"/>
    <mergeCell ref="C128:D128"/>
    <mergeCell ref="C120:D120"/>
    <mergeCell ref="C121:D121"/>
    <mergeCell ref="C122:D122"/>
    <mergeCell ref="C123:D123"/>
    <mergeCell ref="A125:A126"/>
    <mergeCell ref="B125:B126"/>
    <mergeCell ref="C126:D126"/>
  </mergeCells>
  <conditionalFormatting sqref="C56 C62">
    <cfRule type="expression" dxfId="90" priority="34">
      <formula>#REF!="NO"</formula>
    </cfRule>
  </conditionalFormatting>
  <conditionalFormatting sqref="C41:D43">
    <cfRule type="expression" dxfId="89" priority="28">
      <formula>$F$2="NO"</formula>
    </cfRule>
  </conditionalFormatting>
  <conditionalFormatting sqref="C125:D125 C126">
    <cfRule type="expression" dxfId="88" priority="1">
      <formula>$F$2="NO"</formula>
    </cfRule>
  </conditionalFormatting>
  <conditionalFormatting sqref="C127:D128">
    <cfRule type="expression" dxfId="87" priority="10">
      <formula>#REF!="NO"</formula>
    </cfRule>
  </conditionalFormatting>
  <conditionalFormatting sqref="C26:E40">
    <cfRule type="expression" dxfId="86" priority="30">
      <formula>#REF!="NO"</formula>
    </cfRule>
  </conditionalFormatting>
  <conditionalFormatting sqref="C44:E75 F79:F96 C100:D124 F100:F128">
    <cfRule type="expression" dxfId="85" priority="2">
      <formula>#REF!="NO"</formula>
    </cfRule>
  </conditionalFormatting>
  <conditionalFormatting sqref="E41:E43">
    <cfRule type="expression" dxfId="84" priority="29">
      <formula>#REF!="NO"</formula>
    </cfRule>
  </conditionalFormatting>
  <conditionalFormatting sqref="F8:F17">
    <cfRule type="expression" dxfId="83" priority="40">
      <formula>#REF!="NO"</formula>
    </cfRule>
  </conditionalFormatting>
  <conditionalFormatting sqref="F21:F22">
    <cfRule type="expression" dxfId="82" priority="36">
      <formula>#REF!="NO"</formula>
    </cfRule>
  </conditionalFormatting>
  <conditionalFormatting sqref="F26:F75">
    <cfRule type="expression" dxfId="81" priority="15">
      <formula>#REF!="NO"</formula>
    </cfRule>
  </conditionalFormatting>
  <pageMargins left="0.7" right="0.7" top="0.75" bottom="0.75" header="0.3" footer="0.3"/>
  <pageSetup scale="79" orientation="landscape" r:id="rId1"/>
  <rowBreaks count="4" manualBreakCount="4">
    <brk id="28" max="6" man="1"/>
    <brk id="75" max="16383" man="1"/>
    <brk id="103" max="16383" man="1"/>
    <brk id="119"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4FB50-4D95-4317-AF98-7B83859A46B0}">
  <sheetPr>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ht="18" customHeight="1" x14ac:dyDescent="0.2">
      <c r="A1" s="165" t="str">
        <f>'A (Item 2-G)'!$A$1</f>
        <v>GROUP 40524-23254, SCHOOL BUSES (Statewide)                                                             Attachment 1 - Specifications and Pricing (Revised October 15, 2026)</v>
      </c>
      <c r="F1" s="210"/>
    </row>
    <row r="2" spans="1:7" s="25" customFormat="1" ht="18" customHeight="1" thickBot="1" x14ac:dyDescent="0.3">
      <c r="A2" s="316" t="str">
        <f>'Attachment 1 - Summary'!B2</f>
        <v>PC69864 New York Bus Sales, LLC</v>
      </c>
      <c r="B2" s="26"/>
      <c r="C2" s="26"/>
      <c r="D2" s="26"/>
      <c r="E2" s="26"/>
      <c r="F2" s="314"/>
      <c r="G2" s="26"/>
    </row>
    <row r="3" spans="1:7" ht="24" thickBot="1" x14ac:dyDescent="0.25">
      <c r="A3" s="453" t="s">
        <v>477</v>
      </c>
      <c r="B3" s="454"/>
      <c r="C3" s="454"/>
      <c r="D3" s="455"/>
      <c r="E3" s="9"/>
      <c r="F3" s="312"/>
      <c r="G3" s="9"/>
    </row>
    <row r="4" spans="1:7" ht="51" customHeight="1" thickBot="1" x14ac:dyDescent="0.25">
      <c r="A4" s="343" t="s">
        <v>491</v>
      </c>
      <c r="B4" s="344"/>
      <c r="C4" s="344"/>
      <c r="D4" s="345"/>
      <c r="E4" s="9"/>
      <c r="F4" s="312"/>
      <c r="G4" s="9"/>
    </row>
    <row r="5" spans="1:7" s="4" customFormat="1" ht="11.25" customHeight="1" thickBot="1" x14ac:dyDescent="0.3">
      <c r="A5" s="57"/>
      <c r="B5" s="57"/>
      <c r="C5" s="57"/>
      <c r="D5" s="57"/>
      <c r="E5" s="57"/>
      <c r="F5" s="313"/>
    </row>
    <row r="6" spans="1:7" s="8" customFormat="1" ht="16.5" customHeight="1" thickBot="1" x14ac:dyDescent="0.25">
      <c r="A6" s="346" t="s">
        <v>151</v>
      </c>
      <c r="B6" s="347"/>
      <c r="C6" s="347"/>
      <c r="D6" s="348"/>
      <c r="E6" s="36"/>
      <c r="F6" s="181" t="s">
        <v>420</v>
      </c>
      <c r="G6" s="36"/>
    </row>
    <row r="7" spans="1:7" s="4" customFormat="1" ht="15" customHeight="1" thickBot="1" x14ac:dyDescent="0.3">
      <c r="A7" s="41" t="s">
        <v>6</v>
      </c>
      <c r="B7" s="27" t="s">
        <v>165</v>
      </c>
      <c r="C7" s="32"/>
      <c r="D7" s="40"/>
      <c r="E7" s="37"/>
      <c r="F7" s="188" t="s">
        <v>19</v>
      </c>
      <c r="G7" s="37"/>
    </row>
    <row r="8" spans="1:7" ht="65.25" thickTop="1" thickBot="1" x14ac:dyDescent="0.25">
      <c r="A8" s="42" t="s">
        <v>9</v>
      </c>
      <c r="B8" s="337" t="s">
        <v>152</v>
      </c>
      <c r="C8" s="338"/>
      <c r="D8" s="339"/>
      <c r="E8" s="13"/>
      <c r="F8" s="167" t="s">
        <v>419</v>
      </c>
      <c r="G8" s="13"/>
    </row>
    <row r="9" spans="1:7" s="8" customFormat="1" ht="44.25" customHeight="1" thickTop="1" thickBot="1" x14ac:dyDescent="0.25">
      <c r="A9" s="42" t="s">
        <v>136</v>
      </c>
      <c r="B9" s="337" t="s">
        <v>191</v>
      </c>
      <c r="C9" s="338"/>
      <c r="D9" s="339"/>
      <c r="E9" s="13"/>
      <c r="F9" s="167" t="s">
        <v>490</v>
      </c>
      <c r="G9" s="13"/>
    </row>
    <row r="10" spans="1:7" ht="12.75" customHeight="1" thickTop="1" x14ac:dyDescent="0.2">
      <c r="A10" s="43" t="s">
        <v>0</v>
      </c>
      <c r="B10" s="328" t="s">
        <v>154</v>
      </c>
      <c r="C10" s="329"/>
      <c r="D10" s="330"/>
      <c r="E10" s="13"/>
      <c r="F10" s="169" t="s">
        <v>420</v>
      </c>
      <c r="G10" s="13"/>
    </row>
    <row r="11" spans="1:7" x14ac:dyDescent="0.2">
      <c r="A11" s="43" t="s">
        <v>1</v>
      </c>
      <c r="B11" s="328" t="s">
        <v>153</v>
      </c>
      <c r="C11" s="329"/>
      <c r="D11" s="330"/>
      <c r="E11" s="13"/>
      <c r="F11" s="169" t="s">
        <v>476</v>
      </c>
      <c r="G11" s="13"/>
    </row>
    <row r="12" spans="1:7" ht="12.75" customHeight="1" thickBot="1" x14ac:dyDescent="0.25">
      <c r="A12" s="44" t="s">
        <v>2</v>
      </c>
      <c r="B12" s="331" t="s">
        <v>155</v>
      </c>
      <c r="C12" s="332"/>
      <c r="D12" s="333"/>
      <c r="E12" s="13"/>
      <c r="F12" s="170">
        <v>2903</v>
      </c>
      <c r="G12" s="13"/>
    </row>
    <row r="13" spans="1:7" ht="13.5" thickTop="1" x14ac:dyDescent="0.2">
      <c r="A13" s="43" t="s">
        <v>3</v>
      </c>
      <c r="B13" s="328" t="s">
        <v>157</v>
      </c>
      <c r="C13" s="329"/>
      <c r="D13" s="330"/>
      <c r="E13" s="13"/>
      <c r="F13" s="169" t="s">
        <v>420</v>
      </c>
      <c r="G13" s="13"/>
    </row>
    <row r="14" spans="1:7" x14ac:dyDescent="0.2">
      <c r="A14" s="43" t="s">
        <v>4</v>
      </c>
      <c r="B14" s="328" t="s">
        <v>156</v>
      </c>
      <c r="C14" s="329"/>
      <c r="D14" s="330"/>
      <c r="E14" s="13"/>
      <c r="F14" s="169" t="s">
        <v>475</v>
      </c>
      <c r="G14" s="13"/>
    </row>
    <row r="15" spans="1:7" ht="15.75" customHeight="1" thickBot="1" x14ac:dyDescent="0.25">
      <c r="A15" s="45" t="s">
        <v>5</v>
      </c>
      <c r="B15" s="331" t="s">
        <v>158</v>
      </c>
      <c r="C15" s="332"/>
      <c r="D15" s="333"/>
      <c r="E15" s="13"/>
      <c r="F15" s="172">
        <v>2903</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16.5" customHeight="1" thickBot="1" x14ac:dyDescent="0.25">
      <c r="A19" s="346" t="s">
        <v>150</v>
      </c>
      <c r="B19" s="347"/>
      <c r="C19" s="347"/>
      <c r="D19" s="348"/>
      <c r="E19" s="36"/>
      <c r="F19" s="181" t="s">
        <v>420</v>
      </c>
      <c r="G19" s="36"/>
    </row>
    <row r="20" spans="1:7" s="4" customFormat="1" ht="15" customHeight="1" thickBot="1" x14ac:dyDescent="0.3">
      <c r="A20" s="55" t="s">
        <v>6</v>
      </c>
      <c r="B20" s="31" t="s">
        <v>165</v>
      </c>
      <c r="C20" s="33"/>
      <c r="D20" s="48"/>
      <c r="E20" s="37"/>
      <c r="F20" s="188" t="s">
        <v>19</v>
      </c>
      <c r="G20" s="37"/>
    </row>
    <row r="21" spans="1:7" ht="56.25" customHeight="1" x14ac:dyDescent="0.2">
      <c r="A21" s="46" t="s">
        <v>42</v>
      </c>
      <c r="B21" s="349" t="s">
        <v>161</v>
      </c>
      <c r="C21" s="350"/>
      <c r="D21" s="351"/>
      <c r="E21" s="13"/>
      <c r="F21" s="197">
        <f>146100*('PPI Adj'!D6)</f>
        <v>170498.7</v>
      </c>
      <c r="G21" s="13"/>
    </row>
    <row r="22" spans="1:7" ht="33" customHeight="1" thickBot="1" x14ac:dyDescent="0.25">
      <c r="A22" s="47" t="s">
        <v>41</v>
      </c>
      <c r="B22" s="370" t="s">
        <v>163</v>
      </c>
      <c r="C22" s="371"/>
      <c r="D22" s="372"/>
      <c r="E22" s="1"/>
      <c r="F22" s="179">
        <v>22</v>
      </c>
      <c r="G22" s="1"/>
    </row>
    <row r="23" spans="1:7" ht="13.5" thickBot="1" x14ac:dyDescent="0.25">
      <c r="A23" s="58"/>
      <c r="B23" s="1"/>
      <c r="C23" s="1"/>
      <c r="D23" s="1"/>
      <c r="E23" s="1"/>
      <c r="F23" s="180"/>
      <c r="G23" s="1"/>
    </row>
    <row r="24" spans="1:7" s="8" customFormat="1" ht="15.75" customHeight="1" thickBot="1" x14ac:dyDescent="0.25">
      <c r="A24" s="373" t="s">
        <v>164</v>
      </c>
      <c r="B24" s="374"/>
      <c r="C24" s="374"/>
      <c r="D24" s="375"/>
      <c r="E24" s="38"/>
      <c r="F24" s="181" t="s">
        <v>420</v>
      </c>
      <c r="G24" s="38"/>
    </row>
    <row r="25" spans="1:7" s="3" customFormat="1" ht="15" customHeight="1" thickBot="1" x14ac:dyDescent="0.3">
      <c r="A25" s="55" t="s">
        <v>6</v>
      </c>
      <c r="B25" s="56" t="s">
        <v>7</v>
      </c>
      <c r="C25" s="376" t="s">
        <v>165</v>
      </c>
      <c r="D25" s="377"/>
      <c r="E25" s="39"/>
      <c r="F25" s="188" t="s">
        <v>19</v>
      </c>
      <c r="G25" s="39"/>
    </row>
    <row r="26" spans="1:7" s="13" customFormat="1" ht="66.95" customHeight="1" thickBot="1" x14ac:dyDescent="0.3">
      <c r="A26" s="49" t="s">
        <v>8</v>
      </c>
      <c r="B26" s="30" t="s">
        <v>474</v>
      </c>
      <c r="C26" s="352" t="s">
        <v>118</v>
      </c>
      <c r="D26" s="353"/>
      <c r="E26" s="34"/>
      <c r="F26" s="174">
        <v>29350</v>
      </c>
      <c r="G26" s="34"/>
    </row>
    <row r="27" spans="1:7" s="13" customFormat="1" x14ac:dyDescent="0.25">
      <c r="A27" s="354" t="s">
        <v>21</v>
      </c>
      <c r="B27" s="356" t="s">
        <v>512</v>
      </c>
      <c r="C27" s="358" t="s">
        <v>67</v>
      </c>
      <c r="D27" s="359"/>
      <c r="E27" s="34"/>
      <c r="F27" s="183">
        <v>9</v>
      </c>
      <c r="G27" s="34"/>
    </row>
    <row r="28" spans="1:7" s="13" customFormat="1" ht="13.5" thickBot="1" x14ac:dyDescent="0.3">
      <c r="A28" s="355"/>
      <c r="B28" s="357"/>
      <c r="C28" s="352" t="s">
        <v>68</v>
      </c>
      <c r="D28" s="353"/>
      <c r="E28" s="34"/>
      <c r="F28" s="174">
        <v>54</v>
      </c>
      <c r="G28" s="34"/>
    </row>
    <row r="29" spans="1:7" s="13" customFormat="1" ht="13.5" thickBot="1" x14ac:dyDescent="0.3">
      <c r="A29" s="50" t="s">
        <v>123</v>
      </c>
      <c r="B29" s="30" t="s">
        <v>108</v>
      </c>
      <c r="C29" s="368"/>
      <c r="D29" s="369"/>
      <c r="E29" s="35"/>
      <c r="F29" s="184"/>
      <c r="G29" s="35"/>
    </row>
    <row r="30" spans="1:7" s="13" customFormat="1" x14ac:dyDescent="0.25">
      <c r="A30" s="354" t="s">
        <v>59</v>
      </c>
      <c r="B30" s="356"/>
      <c r="C30" s="358" t="s">
        <v>58</v>
      </c>
      <c r="D30" s="359"/>
      <c r="E30" s="34"/>
      <c r="F30" s="183" t="s">
        <v>473</v>
      </c>
      <c r="G30" s="34"/>
    </row>
    <row r="31" spans="1:7" s="13" customFormat="1" x14ac:dyDescent="0.25">
      <c r="A31" s="362"/>
      <c r="B31" s="363"/>
      <c r="C31" s="364" t="s">
        <v>57</v>
      </c>
      <c r="D31" s="365"/>
      <c r="E31" s="34"/>
      <c r="F31" s="169" t="s">
        <v>472</v>
      </c>
      <c r="G31" s="34"/>
    </row>
    <row r="32" spans="1:7" s="13" customFormat="1" x14ac:dyDescent="0.25">
      <c r="A32" s="362"/>
      <c r="B32" s="363"/>
      <c r="C32" s="364" t="s">
        <v>69</v>
      </c>
      <c r="D32" s="365"/>
      <c r="E32" s="34"/>
      <c r="F32" s="169" t="s">
        <v>423</v>
      </c>
      <c r="G32" s="34"/>
    </row>
    <row r="33" spans="1:7" s="13" customFormat="1" x14ac:dyDescent="0.25">
      <c r="A33" s="362"/>
      <c r="B33" s="363"/>
      <c r="C33" s="366" t="s">
        <v>70</v>
      </c>
      <c r="D33" s="367"/>
      <c r="E33" s="34"/>
      <c r="F33" s="169" t="s">
        <v>424</v>
      </c>
      <c r="G33" s="34"/>
    </row>
    <row r="34" spans="1:7" s="13" customFormat="1" ht="13.5" thickBot="1" x14ac:dyDescent="0.3">
      <c r="A34" s="355"/>
      <c r="B34" s="357"/>
      <c r="C34" s="352" t="s">
        <v>111</v>
      </c>
      <c r="D34" s="353"/>
      <c r="E34" s="34"/>
      <c r="F34" s="174" t="s">
        <v>471</v>
      </c>
      <c r="G34" s="34"/>
    </row>
    <row r="35" spans="1:7" s="13" customFormat="1" x14ac:dyDescent="0.25">
      <c r="A35" s="354" t="s">
        <v>11</v>
      </c>
      <c r="B35" s="356"/>
      <c r="C35" s="358" t="s">
        <v>24</v>
      </c>
      <c r="D35" s="359"/>
      <c r="E35" s="34"/>
      <c r="F35" s="183">
        <v>12350</v>
      </c>
      <c r="G35" s="34"/>
    </row>
    <row r="36" spans="1:7" s="13" customFormat="1" ht="13.5" thickBot="1" x14ac:dyDescent="0.3">
      <c r="A36" s="355"/>
      <c r="B36" s="357"/>
      <c r="C36" s="352" t="s">
        <v>22</v>
      </c>
      <c r="D36" s="353"/>
      <c r="E36" s="34"/>
      <c r="F36" s="174">
        <v>13200</v>
      </c>
      <c r="G36" s="34"/>
    </row>
    <row r="37" spans="1:7" s="13" customFormat="1" x14ac:dyDescent="0.25">
      <c r="A37" s="354" t="s">
        <v>16</v>
      </c>
      <c r="B37" s="356"/>
      <c r="C37" s="358" t="s">
        <v>24</v>
      </c>
      <c r="D37" s="359"/>
      <c r="E37" s="34"/>
      <c r="F37" s="183">
        <v>17000</v>
      </c>
      <c r="G37" s="34"/>
    </row>
    <row r="38" spans="1:7" s="13" customFormat="1" ht="13.5" thickBot="1" x14ac:dyDescent="0.3">
      <c r="A38" s="355"/>
      <c r="B38" s="357"/>
      <c r="C38" s="360" t="s">
        <v>23</v>
      </c>
      <c r="D38" s="361"/>
      <c r="E38" s="34"/>
      <c r="F38" s="174">
        <v>21000</v>
      </c>
      <c r="G38" s="34"/>
    </row>
    <row r="39" spans="1:7" s="13" customFormat="1" ht="15.6" customHeight="1" thickBot="1" x14ac:dyDescent="0.3">
      <c r="A39" s="50" t="s">
        <v>52</v>
      </c>
      <c r="B39" s="30" t="s">
        <v>53</v>
      </c>
      <c r="C39" s="368"/>
      <c r="D39" s="369"/>
      <c r="E39" s="35"/>
      <c r="F39" s="184"/>
      <c r="G39" s="35"/>
    </row>
    <row r="40" spans="1:7" s="13" customFormat="1" x14ac:dyDescent="0.25">
      <c r="A40" s="354" t="s">
        <v>219</v>
      </c>
      <c r="B40" s="356" t="s">
        <v>222</v>
      </c>
      <c r="C40" s="358" t="s">
        <v>221</v>
      </c>
      <c r="D40" s="359"/>
      <c r="E40" s="34"/>
      <c r="F40" s="183" t="s">
        <v>492</v>
      </c>
      <c r="G40" s="34"/>
    </row>
    <row r="41" spans="1:7" s="13" customFormat="1" ht="14.45" customHeight="1" x14ac:dyDescent="0.25">
      <c r="A41" s="362"/>
      <c r="B41" s="363"/>
      <c r="C41" s="364" t="s">
        <v>220</v>
      </c>
      <c r="D41" s="365"/>
      <c r="E41" s="34"/>
      <c r="F41" s="169" t="s">
        <v>425</v>
      </c>
      <c r="G41" s="34"/>
    </row>
    <row r="42" spans="1:7" s="13" customFormat="1" ht="90" customHeight="1" thickBot="1" x14ac:dyDescent="0.3">
      <c r="A42" s="355"/>
      <c r="B42" s="363"/>
      <c r="C42" s="360"/>
      <c r="D42" s="361"/>
      <c r="E42" s="34"/>
      <c r="F42" s="171"/>
      <c r="G42" s="34"/>
    </row>
    <row r="43" spans="1:7" s="13" customFormat="1" ht="30" customHeight="1" thickBot="1" x14ac:dyDescent="0.3">
      <c r="A43" s="50" t="s">
        <v>219</v>
      </c>
      <c r="B43" s="30" t="s">
        <v>218</v>
      </c>
      <c r="C43" s="368"/>
      <c r="D43" s="369"/>
      <c r="E43" s="35"/>
      <c r="F43" s="184"/>
      <c r="G43" s="35"/>
    </row>
    <row r="44" spans="1:7" s="13" customFormat="1" ht="13.5" thickBot="1" x14ac:dyDescent="0.3">
      <c r="A44" s="378" t="s">
        <v>12</v>
      </c>
      <c r="B44" s="379" t="s">
        <v>142</v>
      </c>
      <c r="C44" s="358" t="s">
        <v>174</v>
      </c>
      <c r="D44" s="359"/>
      <c r="E44" s="34"/>
      <c r="F44" s="183" t="s">
        <v>278</v>
      </c>
      <c r="G44" s="34"/>
    </row>
    <row r="45" spans="1:7" s="13" customFormat="1" ht="13.5" thickBot="1" x14ac:dyDescent="0.3">
      <c r="A45" s="378"/>
      <c r="B45" s="379"/>
      <c r="C45" s="364" t="s">
        <v>175</v>
      </c>
      <c r="D45" s="365"/>
      <c r="E45" s="34"/>
      <c r="F45" s="169">
        <v>6610</v>
      </c>
      <c r="G45" s="34"/>
    </row>
    <row r="46" spans="1:7" s="13" customFormat="1" ht="13.5" thickBot="1" x14ac:dyDescent="0.3">
      <c r="A46" s="378"/>
      <c r="B46" s="379"/>
      <c r="C46" s="364" t="s">
        <v>176</v>
      </c>
      <c r="D46" s="365"/>
      <c r="E46" s="34"/>
      <c r="F46" s="185" t="s">
        <v>278</v>
      </c>
      <c r="G46" s="34"/>
    </row>
    <row r="47" spans="1:7" s="13" customFormat="1" ht="13.5" thickBot="1" x14ac:dyDescent="0.3">
      <c r="A47" s="378"/>
      <c r="B47" s="379"/>
      <c r="C47" s="364" t="s">
        <v>177</v>
      </c>
      <c r="D47" s="365"/>
      <c r="E47" s="34"/>
      <c r="F47" s="169">
        <v>6005</v>
      </c>
      <c r="G47" s="34"/>
    </row>
    <row r="48" spans="1:7" s="13" customFormat="1" ht="13.5" thickBot="1" x14ac:dyDescent="0.3">
      <c r="A48" s="378"/>
      <c r="B48" s="379"/>
      <c r="C48" s="364" t="s">
        <v>112</v>
      </c>
      <c r="D48" s="365"/>
      <c r="E48" s="34"/>
      <c r="F48" s="169" t="s">
        <v>426</v>
      </c>
      <c r="G48" s="34"/>
    </row>
    <row r="49" spans="1:7" s="13" customFormat="1" ht="13.5" thickBot="1" x14ac:dyDescent="0.3">
      <c r="A49" s="378"/>
      <c r="B49" s="379"/>
      <c r="C49" s="364" t="s">
        <v>113</v>
      </c>
      <c r="D49" s="365"/>
      <c r="E49" s="34"/>
      <c r="F49" s="169" t="s">
        <v>493</v>
      </c>
      <c r="G49" s="34"/>
    </row>
    <row r="50" spans="1:7" s="13" customFormat="1" ht="13.5" thickBot="1" x14ac:dyDescent="0.3">
      <c r="A50" s="378"/>
      <c r="B50" s="379"/>
      <c r="C50" s="366" t="s">
        <v>114</v>
      </c>
      <c r="D50" s="367"/>
      <c r="E50" s="34"/>
      <c r="F50" s="169" t="s">
        <v>426</v>
      </c>
      <c r="G50" s="34"/>
    </row>
    <row r="51" spans="1:7" s="13" customFormat="1" ht="13.5" thickBot="1" x14ac:dyDescent="0.3">
      <c r="A51" s="378"/>
      <c r="B51" s="379"/>
      <c r="C51" s="352" t="s">
        <v>115</v>
      </c>
      <c r="D51" s="353"/>
      <c r="E51" s="34"/>
      <c r="F51" s="174" t="s">
        <v>493</v>
      </c>
      <c r="G51" s="34"/>
    </row>
    <row r="52" spans="1:7" s="13" customFormat="1" x14ac:dyDescent="0.25">
      <c r="A52" s="354" t="s">
        <v>10</v>
      </c>
      <c r="B52" s="356" t="s">
        <v>217</v>
      </c>
      <c r="C52" s="358" t="s">
        <v>116</v>
      </c>
      <c r="D52" s="359"/>
      <c r="E52" s="34"/>
      <c r="F52" s="183">
        <v>5</v>
      </c>
      <c r="G52" s="34"/>
    </row>
    <row r="53" spans="1:7" s="13" customFormat="1" x14ac:dyDescent="0.25">
      <c r="A53" s="362"/>
      <c r="B53" s="363"/>
      <c r="C53" s="364" t="s">
        <v>117</v>
      </c>
      <c r="D53" s="365"/>
      <c r="E53" s="34"/>
      <c r="F53" s="169" t="s">
        <v>494</v>
      </c>
      <c r="G53" s="34"/>
    </row>
    <row r="54" spans="1:7" s="13" customFormat="1" ht="26.25" thickBot="1" x14ac:dyDescent="0.3">
      <c r="A54" s="362"/>
      <c r="B54" s="363"/>
      <c r="C54" s="360" t="s">
        <v>71</v>
      </c>
      <c r="D54" s="361"/>
      <c r="E54" s="34"/>
      <c r="F54" s="171" t="s">
        <v>495</v>
      </c>
      <c r="G54" s="34"/>
    </row>
    <row r="55" spans="1:7" s="13" customFormat="1" ht="80.099999999999994" customHeight="1" thickBot="1" x14ac:dyDescent="0.3">
      <c r="A55" s="51" t="s">
        <v>9</v>
      </c>
      <c r="B55" s="28" t="s">
        <v>256</v>
      </c>
      <c r="C55" s="366"/>
      <c r="D55" s="367"/>
      <c r="E55" s="34"/>
      <c r="F55" s="183"/>
      <c r="G55" s="34"/>
    </row>
    <row r="56" spans="1:7" s="13" customFormat="1" ht="29.45" customHeight="1" thickBot="1" x14ac:dyDescent="0.3">
      <c r="A56" s="51" t="s">
        <v>255</v>
      </c>
      <c r="B56" s="28" t="s">
        <v>254</v>
      </c>
      <c r="C56" s="368"/>
      <c r="D56" s="369"/>
      <c r="E56" s="35"/>
      <c r="F56" s="186"/>
      <c r="G56" s="35"/>
    </row>
    <row r="57" spans="1:7" s="13" customFormat="1" x14ac:dyDescent="0.25">
      <c r="A57" s="354" t="s">
        <v>25</v>
      </c>
      <c r="B57" s="356" t="s">
        <v>93</v>
      </c>
      <c r="C57" s="358" t="s">
        <v>72</v>
      </c>
      <c r="D57" s="359"/>
      <c r="E57" s="34"/>
      <c r="F57" s="183" t="s">
        <v>430</v>
      </c>
      <c r="G57" s="34"/>
    </row>
    <row r="58" spans="1:7" s="13" customFormat="1" ht="56.1" customHeight="1" thickBot="1" x14ac:dyDescent="0.3">
      <c r="A58" s="355"/>
      <c r="B58" s="357"/>
      <c r="C58" s="352" t="s">
        <v>73</v>
      </c>
      <c r="D58" s="353"/>
      <c r="E58" s="34"/>
      <c r="F58" s="174">
        <v>240</v>
      </c>
      <c r="G58" s="34"/>
    </row>
    <row r="59" spans="1:7" s="13" customFormat="1" x14ac:dyDescent="0.25">
      <c r="A59" s="354" t="s">
        <v>26</v>
      </c>
      <c r="B59" s="356" t="s">
        <v>253</v>
      </c>
      <c r="C59" s="358" t="s">
        <v>74</v>
      </c>
      <c r="D59" s="359"/>
      <c r="E59" s="34"/>
      <c r="F59" s="183" t="s">
        <v>431</v>
      </c>
      <c r="G59" s="34"/>
    </row>
    <row r="60" spans="1:7" s="13" customFormat="1" x14ac:dyDescent="0.25">
      <c r="A60" s="362"/>
      <c r="B60" s="363"/>
      <c r="C60" s="364" t="s">
        <v>75</v>
      </c>
      <c r="D60" s="365"/>
      <c r="E60" s="34"/>
      <c r="F60" s="169">
        <v>3</v>
      </c>
      <c r="G60" s="34"/>
    </row>
    <row r="61" spans="1:7" s="13" customFormat="1" ht="32.25" customHeight="1" thickBot="1" x14ac:dyDescent="0.3">
      <c r="A61" s="355"/>
      <c r="B61" s="357"/>
      <c r="C61" s="352" t="s">
        <v>252</v>
      </c>
      <c r="D61" s="353"/>
      <c r="E61" s="34"/>
      <c r="F61" s="174">
        <v>700</v>
      </c>
      <c r="G61" s="34"/>
    </row>
    <row r="62" spans="1:7" s="13" customFormat="1" ht="15.6" customHeight="1" thickBot="1" x14ac:dyDescent="0.3">
      <c r="A62" s="50" t="s">
        <v>44</v>
      </c>
      <c r="B62" s="30" t="s">
        <v>45</v>
      </c>
      <c r="C62" s="368"/>
      <c r="D62" s="369"/>
      <c r="E62" s="35"/>
      <c r="F62" s="186"/>
      <c r="G62" s="35"/>
    </row>
    <row r="63" spans="1:7" s="13" customFormat="1" ht="28.5" customHeight="1" thickBot="1" x14ac:dyDescent="0.3">
      <c r="A63" s="50" t="s">
        <v>44</v>
      </c>
      <c r="B63" s="30" t="s">
        <v>63</v>
      </c>
      <c r="C63" s="368"/>
      <c r="D63" s="369"/>
      <c r="E63" s="35"/>
      <c r="F63" s="186"/>
      <c r="G63" s="35"/>
    </row>
    <row r="64" spans="1:7" s="13" customFormat="1" ht="28.5" customHeight="1" thickBot="1" x14ac:dyDescent="0.3">
      <c r="A64" s="50" t="s">
        <v>44</v>
      </c>
      <c r="B64" s="30" t="s">
        <v>64</v>
      </c>
      <c r="C64" s="368"/>
      <c r="D64" s="369"/>
      <c r="E64" s="35"/>
      <c r="F64" s="186"/>
      <c r="G64" s="35"/>
    </row>
    <row r="65" spans="1:7" s="13" customFormat="1" ht="27.95" customHeight="1" thickBot="1" x14ac:dyDescent="0.3">
      <c r="A65" s="50" t="s">
        <v>50</v>
      </c>
      <c r="B65" s="30" t="s">
        <v>216</v>
      </c>
      <c r="C65" s="368"/>
      <c r="D65" s="369"/>
      <c r="E65" s="35"/>
      <c r="F65" s="186"/>
      <c r="G65" s="35"/>
    </row>
    <row r="66" spans="1:7" s="13" customFormat="1" ht="15.95" customHeight="1" thickBot="1" x14ac:dyDescent="0.3">
      <c r="A66" s="50" t="s">
        <v>27</v>
      </c>
      <c r="B66" s="30" t="s">
        <v>215</v>
      </c>
      <c r="C66" s="380" t="s">
        <v>77</v>
      </c>
      <c r="D66" s="381"/>
      <c r="E66" s="34"/>
      <c r="F66" s="184" t="s">
        <v>496</v>
      </c>
      <c r="G66" s="34"/>
    </row>
    <row r="67" spans="1:7" s="13" customFormat="1" ht="54.95" customHeight="1" thickBot="1" x14ac:dyDescent="0.3">
      <c r="A67" s="50" t="s">
        <v>214</v>
      </c>
      <c r="B67" s="30" t="s">
        <v>213</v>
      </c>
      <c r="C67" s="380"/>
      <c r="D67" s="381"/>
      <c r="E67" s="34"/>
      <c r="F67" s="184"/>
      <c r="G67" s="34"/>
    </row>
    <row r="68" spans="1:7" s="13" customFormat="1" ht="15" customHeight="1" x14ac:dyDescent="0.25">
      <c r="A68" s="354" t="s">
        <v>28</v>
      </c>
      <c r="B68" s="356" t="s">
        <v>265</v>
      </c>
      <c r="C68" s="425" t="s">
        <v>250</v>
      </c>
      <c r="D68" s="359"/>
      <c r="E68" s="34"/>
      <c r="F68" s="183" t="s">
        <v>455</v>
      </c>
      <c r="G68" s="34"/>
    </row>
    <row r="69" spans="1:7" s="13" customFormat="1" ht="29.25" customHeight="1" thickBot="1" x14ac:dyDescent="0.3">
      <c r="A69" s="355"/>
      <c r="B69" s="357"/>
      <c r="C69" s="426" t="s">
        <v>249</v>
      </c>
      <c r="D69" s="353"/>
      <c r="E69" s="34"/>
      <c r="F69" s="174" t="s">
        <v>434</v>
      </c>
      <c r="G69" s="34"/>
    </row>
    <row r="70" spans="1:7" s="13" customFormat="1" ht="39.6" customHeight="1" thickBot="1" x14ac:dyDescent="0.3">
      <c r="A70" s="50" t="s">
        <v>51</v>
      </c>
      <c r="B70" s="30" t="s">
        <v>212</v>
      </c>
      <c r="C70" s="368"/>
      <c r="D70" s="369"/>
      <c r="E70" s="35"/>
      <c r="F70" s="184"/>
      <c r="G70" s="35"/>
    </row>
    <row r="71" spans="1:7" s="13" customFormat="1" ht="40.5" customHeight="1" thickBot="1" x14ac:dyDescent="0.3">
      <c r="A71" s="50" t="s">
        <v>54</v>
      </c>
      <c r="B71" s="30" t="s">
        <v>80</v>
      </c>
      <c r="C71" s="368"/>
      <c r="D71" s="369"/>
      <c r="E71" s="35"/>
      <c r="F71" s="184"/>
      <c r="G71" s="35"/>
    </row>
    <row r="72" spans="1:7" s="13" customFormat="1" ht="80.099999999999994" customHeight="1" thickBot="1" x14ac:dyDescent="0.3">
      <c r="A72" s="50" t="s">
        <v>29</v>
      </c>
      <c r="B72" s="30" t="s">
        <v>211</v>
      </c>
      <c r="C72" s="368"/>
      <c r="D72" s="369"/>
      <c r="E72" s="35"/>
      <c r="F72" s="184"/>
      <c r="G72" s="35"/>
    </row>
    <row r="73" spans="1:7" s="13" customFormat="1" ht="56.45" customHeight="1" thickBot="1" x14ac:dyDescent="0.3">
      <c r="A73" s="50" t="s">
        <v>31</v>
      </c>
      <c r="B73" s="30" t="s">
        <v>210</v>
      </c>
      <c r="C73" s="380" t="s">
        <v>30</v>
      </c>
      <c r="D73" s="381"/>
      <c r="E73" s="34"/>
      <c r="F73" s="184" t="s">
        <v>435</v>
      </c>
      <c r="G73" s="34"/>
    </row>
    <row r="74" spans="1:7" s="13" customFormat="1" ht="27" customHeight="1" thickBot="1" x14ac:dyDescent="0.3">
      <c r="A74" s="50" t="s">
        <v>55</v>
      </c>
      <c r="B74" s="30" t="s">
        <v>95</v>
      </c>
      <c r="C74" s="368"/>
      <c r="D74" s="369"/>
      <c r="E74" s="35"/>
      <c r="F74" s="184"/>
      <c r="G74" s="35"/>
    </row>
    <row r="75" spans="1:7" s="13" customFormat="1" ht="29.45" customHeight="1" thickBot="1" x14ac:dyDescent="0.3">
      <c r="A75" s="50" t="s">
        <v>32</v>
      </c>
      <c r="B75" s="30" t="s">
        <v>96</v>
      </c>
      <c r="C75" s="380" t="s">
        <v>30</v>
      </c>
      <c r="D75" s="381"/>
      <c r="E75" s="34"/>
      <c r="F75" s="184" t="s">
        <v>436</v>
      </c>
      <c r="G75" s="34"/>
    </row>
    <row r="76" spans="1:7" s="13" customFormat="1" ht="40.5" customHeight="1" thickBot="1" x14ac:dyDescent="0.3">
      <c r="A76" s="50" t="s">
        <v>56</v>
      </c>
      <c r="B76" s="30" t="s">
        <v>167</v>
      </c>
      <c r="C76" s="368"/>
      <c r="D76" s="369"/>
      <c r="E76" s="35"/>
      <c r="F76" s="184"/>
      <c r="G76" s="35"/>
    </row>
    <row r="77" spans="1:7" s="13" customFormat="1" ht="27.95" customHeight="1" thickBot="1" x14ac:dyDescent="0.3">
      <c r="A77" s="50" t="s">
        <v>48</v>
      </c>
      <c r="B77" s="30" t="s">
        <v>47</v>
      </c>
      <c r="C77" s="368"/>
      <c r="D77" s="369"/>
      <c r="E77" s="35"/>
      <c r="F77" s="184"/>
      <c r="G77" s="35"/>
    </row>
    <row r="78" spans="1:7" s="13" customFormat="1" ht="30" customHeight="1" thickBot="1" x14ac:dyDescent="0.3">
      <c r="A78" s="50" t="s">
        <v>49</v>
      </c>
      <c r="B78" s="30" t="s">
        <v>103</v>
      </c>
      <c r="C78" s="368"/>
      <c r="D78" s="369"/>
      <c r="E78" s="35"/>
      <c r="F78" s="184"/>
      <c r="G78" s="35"/>
    </row>
    <row r="79" spans="1:7" s="13" customFormat="1" ht="26.25" thickBot="1" x14ac:dyDescent="0.3">
      <c r="A79" s="50" t="s">
        <v>46</v>
      </c>
      <c r="B79" s="30" t="s">
        <v>81</v>
      </c>
      <c r="C79" s="368"/>
      <c r="D79" s="369"/>
      <c r="E79" s="35"/>
      <c r="F79" s="184"/>
      <c r="G79" s="35"/>
    </row>
    <row r="80" spans="1:7" ht="13.5" thickBot="1" x14ac:dyDescent="0.25"/>
    <row r="81" spans="1:6" s="17" customFormat="1" ht="18" customHeight="1" thickBot="1" x14ac:dyDescent="0.3">
      <c r="A81" s="373" t="s">
        <v>168</v>
      </c>
      <c r="B81" s="374"/>
      <c r="C81" s="374"/>
      <c r="D81" s="375"/>
      <c r="E81" s="38"/>
      <c r="F81" s="181" t="s">
        <v>420</v>
      </c>
    </row>
    <row r="82" spans="1:6" s="3" customFormat="1" ht="15" customHeight="1" thickBot="1" x14ac:dyDescent="0.3">
      <c r="A82" s="382" t="s">
        <v>169</v>
      </c>
      <c r="B82" s="383"/>
      <c r="C82" s="383"/>
      <c r="D82" s="384"/>
      <c r="E82" s="39"/>
      <c r="F82" s="188" t="s">
        <v>19</v>
      </c>
    </row>
    <row r="83" spans="1:6" s="13" customFormat="1" x14ac:dyDescent="0.25">
      <c r="A83" s="385" t="s">
        <v>83</v>
      </c>
      <c r="B83" s="386"/>
      <c r="C83" s="386"/>
      <c r="D83" s="387"/>
      <c r="E83" s="35"/>
      <c r="F83" s="189">
        <f>-1337.32*('PPI Adj'!D6)</f>
        <v>-1560.6524400000001</v>
      </c>
    </row>
    <row r="84" spans="1:6" s="13" customFormat="1" x14ac:dyDescent="0.25">
      <c r="A84" s="388" t="s">
        <v>34</v>
      </c>
      <c r="B84" s="389"/>
      <c r="C84" s="389"/>
      <c r="D84" s="390"/>
      <c r="E84" s="34"/>
      <c r="F84" s="190">
        <f>544.44*('PPI Adj'!D6)</f>
        <v>635.36148000000003</v>
      </c>
    </row>
    <row r="85" spans="1:6" s="13" customFormat="1" x14ac:dyDescent="0.25">
      <c r="A85" s="388" t="s">
        <v>35</v>
      </c>
      <c r="B85" s="389"/>
      <c r="C85" s="389"/>
      <c r="D85" s="390"/>
      <c r="E85" s="35"/>
      <c r="F85" s="190">
        <f>648.18*('PPI Adj'!D6)</f>
        <v>756.42606000000001</v>
      </c>
    </row>
    <row r="86" spans="1:6" s="13" customFormat="1" x14ac:dyDescent="0.25">
      <c r="A86" s="388" t="s">
        <v>36</v>
      </c>
      <c r="B86" s="389"/>
      <c r="C86" s="389"/>
      <c r="D86" s="390"/>
      <c r="E86" s="34"/>
      <c r="F86" s="190">
        <f>1340.82*('PPI Adj'!D6)</f>
        <v>1564.73694</v>
      </c>
    </row>
    <row r="87" spans="1:6" s="13" customFormat="1" x14ac:dyDescent="0.25">
      <c r="A87" s="388" t="s">
        <v>60</v>
      </c>
      <c r="B87" s="389"/>
      <c r="C87" s="389"/>
      <c r="D87" s="390"/>
      <c r="E87" s="34"/>
      <c r="F87" s="190">
        <f>655.98*('PPI Adj'!D6)</f>
        <v>765.52866000000006</v>
      </c>
    </row>
    <row r="88" spans="1:6" s="13" customFormat="1" x14ac:dyDescent="0.25">
      <c r="A88" s="388" t="s">
        <v>61</v>
      </c>
      <c r="B88" s="389"/>
      <c r="C88" s="389"/>
      <c r="D88" s="390"/>
      <c r="E88" s="34"/>
      <c r="F88" s="190" t="s">
        <v>183</v>
      </c>
    </row>
    <row r="89" spans="1:6" s="13" customFormat="1" x14ac:dyDescent="0.25">
      <c r="A89" s="388" t="s">
        <v>86</v>
      </c>
      <c r="B89" s="389"/>
      <c r="C89" s="389"/>
      <c r="D89" s="390"/>
      <c r="E89" s="34"/>
      <c r="F89" s="190">
        <f>1202.76*('PPI Adj'!D6)</f>
        <v>1403.6209200000001</v>
      </c>
    </row>
    <row r="90" spans="1:6" x14ac:dyDescent="0.2">
      <c r="A90" s="388" t="s">
        <v>85</v>
      </c>
      <c r="B90" s="389"/>
      <c r="C90" s="389"/>
      <c r="D90" s="390"/>
      <c r="E90" s="34"/>
      <c r="F90" s="190">
        <f>5086.97*('PPI Adj'!D6)</f>
        <v>5936.4939900000008</v>
      </c>
    </row>
    <row r="91" spans="1:6" x14ac:dyDescent="0.2">
      <c r="A91" s="388" t="s">
        <v>13</v>
      </c>
      <c r="B91" s="389"/>
      <c r="C91" s="389"/>
      <c r="D91" s="390"/>
      <c r="E91" s="34"/>
      <c r="F91" s="190">
        <f>6533.28*('PPI Adj'!D6)</f>
        <v>7624.3377600000003</v>
      </c>
    </row>
    <row r="92" spans="1:6" x14ac:dyDescent="0.2">
      <c r="A92" s="388" t="s">
        <v>37</v>
      </c>
      <c r="B92" s="389"/>
      <c r="C92" s="389"/>
      <c r="D92" s="390"/>
      <c r="E92" s="35"/>
      <c r="F92" s="190">
        <f>97.5*('PPI Adj'!D6)</f>
        <v>113.7825</v>
      </c>
    </row>
    <row r="93" spans="1:6" x14ac:dyDescent="0.2">
      <c r="A93" s="388" t="s">
        <v>38</v>
      </c>
      <c r="B93" s="389"/>
      <c r="C93" s="389"/>
      <c r="D93" s="390"/>
      <c r="E93" s="35"/>
      <c r="F93" s="190">
        <f>397.8*('PPI Adj'!D6)</f>
        <v>464.23260000000005</v>
      </c>
    </row>
    <row r="94" spans="1:6" x14ac:dyDescent="0.2">
      <c r="A94" s="388" t="s">
        <v>201</v>
      </c>
      <c r="B94" s="389"/>
      <c r="C94" s="389"/>
      <c r="D94" s="390"/>
      <c r="E94" s="35"/>
      <c r="F94" s="190" t="s">
        <v>183</v>
      </c>
    </row>
    <row r="95" spans="1:6" x14ac:dyDescent="0.2">
      <c r="A95" s="388" t="s">
        <v>39</v>
      </c>
      <c r="B95" s="389"/>
      <c r="C95" s="389"/>
      <c r="D95" s="390"/>
      <c r="E95" s="34"/>
      <c r="F95" s="190">
        <f>723.06*('PPI Adj'!D6)</f>
        <v>843.81101999999998</v>
      </c>
    </row>
    <row r="96" spans="1:6" x14ac:dyDescent="0.2">
      <c r="A96" s="388" t="s">
        <v>88</v>
      </c>
      <c r="B96" s="389"/>
      <c r="C96" s="389"/>
      <c r="D96" s="390"/>
      <c r="E96" s="34"/>
      <c r="F96" s="190">
        <f>3939.22*('PPI Adj'!D6)</f>
        <v>4597.0697399999999</v>
      </c>
    </row>
    <row r="97" spans="1:6" x14ac:dyDescent="0.2">
      <c r="A97" s="388" t="s">
        <v>40</v>
      </c>
      <c r="B97" s="389"/>
      <c r="C97" s="389"/>
      <c r="D97" s="390"/>
      <c r="E97" s="34"/>
      <c r="F97" s="190">
        <f>578.76*('PPI Adj'!D6)</f>
        <v>675.41291999999999</v>
      </c>
    </row>
    <row r="98" spans="1:6" x14ac:dyDescent="0.2">
      <c r="A98" s="388" t="s">
        <v>14</v>
      </c>
      <c r="B98" s="389"/>
      <c r="C98" s="389"/>
      <c r="D98" s="390"/>
      <c r="E98" s="34"/>
      <c r="F98" s="190">
        <f>7483.25*('PPI Adj'!D6)</f>
        <v>8732.9527500000004</v>
      </c>
    </row>
    <row r="99" spans="1:6" x14ac:dyDescent="0.2">
      <c r="A99" s="388" t="s">
        <v>91</v>
      </c>
      <c r="B99" s="389"/>
      <c r="C99" s="389"/>
      <c r="D99" s="390"/>
      <c r="E99" s="34"/>
      <c r="F99" s="190">
        <f>1800*('PPI Adj'!D6)</f>
        <v>2100.6</v>
      </c>
    </row>
    <row r="100" spans="1:6" x14ac:dyDescent="0.2">
      <c r="A100" s="394" t="s">
        <v>275</v>
      </c>
      <c r="B100" s="395"/>
      <c r="C100" s="395"/>
      <c r="D100" s="396"/>
      <c r="E100" s="34"/>
      <c r="F100" s="200">
        <f>-413.21*('PPI Adj'!D6)</f>
        <v>-482.21607</v>
      </c>
    </row>
    <row r="101" spans="1:6" ht="13.5" thickBot="1" x14ac:dyDescent="0.25">
      <c r="A101" s="391" t="s">
        <v>92</v>
      </c>
      <c r="B101" s="392"/>
      <c r="C101" s="392"/>
      <c r="D101" s="393"/>
      <c r="E101" s="35"/>
      <c r="F101" s="191">
        <f>1013.03*('PPI Adj'!D6)</f>
        <v>1182.2060100000001</v>
      </c>
    </row>
    <row r="102" spans="1:6" ht="13.5" thickBot="1" x14ac:dyDescent="0.25"/>
    <row r="103" spans="1:6" s="17" customFormat="1" ht="18" customHeight="1" thickBot="1" x14ac:dyDescent="0.3">
      <c r="A103" s="373" t="s">
        <v>166</v>
      </c>
      <c r="B103" s="374"/>
      <c r="C103" s="374"/>
      <c r="D103" s="375"/>
      <c r="E103" s="38"/>
      <c r="F103" s="181" t="s">
        <v>420</v>
      </c>
    </row>
    <row r="104" spans="1:6" s="3" customFormat="1" ht="15" customHeight="1" thickBot="1" x14ac:dyDescent="0.3">
      <c r="A104" s="52" t="s">
        <v>33</v>
      </c>
      <c r="B104" s="24" t="s">
        <v>7</v>
      </c>
      <c r="C104" s="397" t="s">
        <v>165</v>
      </c>
      <c r="D104" s="398"/>
      <c r="E104" s="39"/>
      <c r="F104" s="188" t="s">
        <v>19</v>
      </c>
    </row>
    <row r="105" spans="1:6" s="13" customFormat="1" ht="41.1" customHeight="1" thickBot="1" x14ac:dyDescent="0.3">
      <c r="A105" s="53" t="s">
        <v>83</v>
      </c>
      <c r="B105" s="23" t="s">
        <v>146</v>
      </c>
      <c r="C105" s="399"/>
      <c r="D105" s="400"/>
      <c r="E105" s="35"/>
      <c r="F105" s="184" t="s">
        <v>438</v>
      </c>
    </row>
    <row r="106" spans="1:6" s="13" customFormat="1" ht="26.25" thickBot="1" x14ac:dyDescent="0.3">
      <c r="A106" s="50" t="s">
        <v>34</v>
      </c>
      <c r="B106" s="30" t="s">
        <v>107</v>
      </c>
      <c r="C106" s="380" t="s">
        <v>30</v>
      </c>
      <c r="D106" s="381"/>
      <c r="E106" s="34"/>
      <c r="F106" s="184" t="s">
        <v>439</v>
      </c>
    </row>
    <row r="107" spans="1:6" s="13" customFormat="1" ht="51.95" customHeight="1" thickBot="1" x14ac:dyDescent="0.3">
      <c r="A107" s="50" t="s">
        <v>35</v>
      </c>
      <c r="B107" s="30" t="s">
        <v>97</v>
      </c>
      <c r="C107" s="368"/>
      <c r="D107" s="369"/>
      <c r="E107" s="35"/>
      <c r="F107" s="184"/>
    </row>
    <row r="108" spans="1:6" s="13" customFormat="1" ht="27" customHeight="1" thickBot="1" x14ac:dyDescent="0.3">
      <c r="A108" s="50" t="s">
        <v>36</v>
      </c>
      <c r="B108" s="30" t="s">
        <v>84</v>
      </c>
      <c r="C108" s="380" t="s">
        <v>99</v>
      </c>
      <c r="D108" s="381"/>
      <c r="E108" s="34"/>
      <c r="F108" s="184" t="s">
        <v>441</v>
      </c>
    </row>
    <row r="109" spans="1:6" s="13" customFormat="1" ht="12.75" customHeight="1" x14ac:dyDescent="0.25">
      <c r="A109" s="354" t="s">
        <v>60</v>
      </c>
      <c r="B109" s="356" t="s">
        <v>133</v>
      </c>
      <c r="C109" s="358" t="s">
        <v>203</v>
      </c>
      <c r="D109" s="359"/>
      <c r="E109" s="34"/>
      <c r="F109" s="183" t="s">
        <v>278</v>
      </c>
    </row>
    <row r="110" spans="1:6" s="13" customFormat="1" x14ac:dyDescent="0.25">
      <c r="A110" s="362"/>
      <c r="B110" s="363"/>
      <c r="C110" s="364" t="s">
        <v>202</v>
      </c>
      <c r="D110" s="365"/>
      <c r="E110" s="34"/>
      <c r="F110" s="169">
        <v>6005</v>
      </c>
    </row>
    <row r="111" spans="1:6" s="13" customFormat="1" x14ac:dyDescent="0.25">
      <c r="A111" s="362"/>
      <c r="B111" s="363"/>
      <c r="C111" s="364" t="s">
        <v>114</v>
      </c>
      <c r="D111" s="365"/>
      <c r="E111" s="34"/>
      <c r="F111" s="169" t="s">
        <v>442</v>
      </c>
    </row>
    <row r="112" spans="1:6" s="13" customFormat="1" ht="30.75" customHeight="1" thickBot="1" x14ac:dyDescent="0.3">
      <c r="A112" s="355"/>
      <c r="B112" s="357"/>
      <c r="C112" s="352" t="s">
        <v>115</v>
      </c>
      <c r="D112" s="353"/>
      <c r="E112" s="34"/>
      <c r="F112" s="174" t="s">
        <v>443</v>
      </c>
    </row>
    <row r="113" spans="1:6" s="13" customFormat="1" ht="12.75" customHeight="1" x14ac:dyDescent="0.25">
      <c r="A113" s="354" t="s">
        <v>61</v>
      </c>
      <c r="B113" s="356" t="s">
        <v>206</v>
      </c>
      <c r="C113" s="358" t="s">
        <v>205</v>
      </c>
      <c r="D113" s="359"/>
      <c r="E113" s="34"/>
      <c r="F113" s="183"/>
    </row>
    <row r="114" spans="1:6" s="13" customFormat="1" x14ac:dyDescent="0.25">
      <c r="A114" s="362"/>
      <c r="B114" s="363"/>
      <c r="C114" s="364" t="s">
        <v>204</v>
      </c>
      <c r="D114" s="365"/>
      <c r="E114" s="34"/>
      <c r="F114" s="185"/>
    </row>
    <row r="115" spans="1:6" s="13" customFormat="1" x14ac:dyDescent="0.25">
      <c r="A115" s="362"/>
      <c r="B115" s="363"/>
      <c r="C115" s="364" t="s">
        <v>203</v>
      </c>
      <c r="D115" s="365"/>
      <c r="E115" s="34"/>
      <c r="F115" s="185"/>
    </row>
    <row r="116" spans="1:6" s="13" customFormat="1" x14ac:dyDescent="0.25">
      <c r="A116" s="362"/>
      <c r="B116" s="363"/>
      <c r="C116" s="364" t="s">
        <v>202</v>
      </c>
      <c r="D116" s="365"/>
      <c r="E116" s="34"/>
      <c r="F116" s="169"/>
    </row>
    <row r="117" spans="1:6" s="13" customFormat="1" x14ac:dyDescent="0.25">
      <c r="A117" s="362"/>
      <c r="B117" s="363"/>
      <c r="C117" s="364" t="s">
        <v>112</v>
      </c>
      <c r="D117" s="365"/>
      <c r="E117" s="34"/>
      <c r="F117" s="169"/>
    </row>
    <row r="118" spans="1:6" s="13" customFormat="1" x14ac:dyDescent="0.25">
      <c r="A118" s="362"/>
      <c r="B118" s="363"/>
      <c r="C118" s="364" t="s">
        <v>113</v>
      </c>
      <c r="D118" s="365"/>
      <c r="E118" s="34"/>
      <c r="F118" s="185"/>
    </row>
    <row r="119" spans="1:6" s="13" customFormat="1" x14ac:dyDescent="0.25">
      <c r="A119" s="362"/>
      <c r="B119" s="363"/>
      <c r="C119" s="364" t="s">
        <v>114</v>
      </c>
      <c r="D119" s="365"/>
      <c r="E119" s="34"/>
      <c r="F119" s="185"/>
    </row>
    <row r="120" spans="1:6" s="13" customFormat="1" ht="13.5" thickBot="1" x14ac:dyDescent="0.3">
      <c r="A120" s="355"/>
      <c r="B120" s="357"/>
      <c r="C120" s="352" t="s">
        <v>115</v>
      </c>
      <c r="D120" s="353"/>
      <c r="E120" s="34"/>
      <c r="F120" s="174"/>
    </row>
    <row r="121" spans="1:6" s="13" customFormat="1" ht="143.44999999999999" customHeight="1" thickBot="1" x14ac:dyDescent="0.3">
      <c r="A121" s="54" t="s">
        <v>86</v>
      </c>
      <c r="B121" s="18" t="s">
        <v>143</v>
      </c>
      <c r="C121" s="380" t="s">
        <v>104</v>
      </c>
      <c r="D121" s="381"/>
      <c r="E121" s="34"/>
      <c r="F121" s="183" t="s">
        <v>444</v>
      </c>
    </row>
    <row r="122" spans="1:6" ht="169.5" customHeight="1" thickBot="1" x14ac:dyDescent="0.25">
      <c r="A122" s="50" t="s">
        <v>85</v>
      </c>
      <c r="B122" s="14" t="s">
        <v>170</v>
      </c>
      <c r="C122" s="380" t="s">
        <v>104</v>
      </c>
      <c r="D122" s="381"/>
      <c r="E122" s="34"/>
      <c r="F122" s="184" t="s">
        <v>464</v>
      </c>
    </row>
    <row r="123" spans="1:6" x14ac:dyDescent="0.2">
      <c r="A123" s="354" t="s">
        <v>13</v>
      </c>
      <c r="B123" s="356" t="s">
        <v>98</v>
      </c>
      <c r="C123" s="358" t="s">
        <v>30</v>
      </c>
      <c r="D123" s="359"/>
      <c r="E123" s="34"/>
      <c r="F123" s="183" t="s">
        <v>446</v>
      </c>
    </row>
    <row r="124" spans="1:6" ht="30.6" customHeight="1" thickBot="1" x14ac:dyDescent="0.25">
      <c r="A124" s="355"/>
      <c r="B124" s="357"/>
      <c r="C124" s="352" t="s">
        <v>109</v>
      </c>
      <c r="D124" s="353"/>
      <c r="E124" s="34"/>
      <c r="F124" s="174">
        <v>1000</v>
      </c>
    </row>
    <row r="125" spans="1:6" ht="65.45" customHeight="1" thickBot="1" x14ac:dyDescent="0.25">
      <c r="A125" s="50" t="s">
        <v>37</v>
      </c>
      <c r="B125" s="30" t="s">
        <v>135</v>
      </c>
      <c r="C125" s="368"/>
      <c r="D125" s="369"/>
      <c r="E125" s="35"/>
      <c r="F125" s="184" t="s">
        <v>447</v>
      </c>
    </row>
    <row r="126" spans="1:6" ht="40.5" customHeight="1" thickBot="1" x14ac:dyDescent="0.25">
      <c r="A126" s="50" t="s">
        <v>38</v>
      </c>
      <c r="B126" s="30" t="s">
        <v>87</v>
      </c>
      <c r="C126" s="368"/>
      <c r="D126" s="369"/>
      <c r="E126" s="35"/>
      <c r="F126" s="184"/>
    </row>
    <row r="127" spans="1:6" ht="14.45" customHeight="1" thickBot="1" x14ac:dyDescent="0.25">
      <c r="A127" s="50" t="s">
        <v>201</v>
      </c>
      <c r="B127" s="30" t="s">
        <v>200</v>
      </c>
      <c r="C127" s="380"/>
      <c r="D127" s="381"/>
      <c r="E127" s="34"/>
      <c r="F127" s="184"/>
    </row>
    <row r="128" spans="1:6" ht="28.5" customHeight="1" thickBot="1" x14ac:dyDescent="0.25">
      <c r="A128" s="50" t="s">
        <v>39</v>
      </c>
      <c r="B128" s="30" t="s">
        <v>106</v>
      </c>
      <c r="C128" s="380" t="s">
        <v>105</v>
      </c>
      <c r="D128" s="381"/>
      <c r="E128" s="34"/>
      <c r="F128" s="184" t="s">
        <v>184</v>
      </c>
    </row>
    <row r="129" spans="1:6" x14ac:dyDescent="0.2">
      <c r="A129" s="354" t="s">
        <v>88</v>
      </c>
      <c r="B129" s="356" t="s">
        <v>148</v>
      </c>
      <c r="C129" s="358" t="s">
        <v>100</v>
      </c>
      <c r="D129" s="359"/>
      <c r="E129" s="34"/>
      <c r="F129" s="183" t="s">
        <v>448</v>
      </c>
    </row>
    <row r="130" spans="1:6" ht="108" customHeight="1" thickBot="1" x14ac:dyDescent="0.25">
      <c r="A130" s="355"/>
      <c r="B130" s="357"/>
      <c r="C130" s="352" t="s">
        <v>110</v>
      </c>
      <c r="D130" s="353"/>
      <c r="E130" s="34"/>
      <c r="F130" s="201" t="s">
        <v>449</v>
      </c>
    </row>
    <row r="131" spans="1:6" ht="51.75" thickBot="1" x14ac:dyDescent="0.25">
      <c r="A131" s="50" t="s">
        <v>40</v>
      </c>
      <c r="B131" s="30" t="s">
        <v>137</v>
      </c>
      <c r="C131" s="380" t="s">
        <v>100</v>
      </c>
      <c r="D131" s="381"/>
      <c r="E131" s="34"/>
      <c r="F131" s="174" t="s">
        <v>457</v>
      </c>
    </row>
    <row r="132" spans="1:6" ht="54.6" customHeight="1" thickBot="1" x14ac:dyDescent="0.25">
      <c r="A132" s="50" t="s">
        <v>14</v>
      </c>
      <c r="B132" s="30" t="s">
        <v>138</v>
      </c>
      <c r="C132" s="380" t="s">
        <v>139</v>
      </c>
      <c r="D132" s="381"/>
      <c r="E132" s="34"/>
      <c r="F132" s="184">
        <v>2</v>
      </c>
    </row>
    <row r="133" spans="1:6" ht="64.5" customHeight="1" thickBot="1" x14ac:dyDescent="0.25">
      <c r="A133" s="50" t="s">
        <v>91</v>
      </c>
      <c r="B133" s="30" t="s">
        <v>144</v>
      </c>
      <c r="C133" s="380" t="s">
        <v>100</v>
      </c>
      <c r="D133" s="381"/>
      <c r="E133" s="34"/>
      <c r="F133" s="184" t="s">
        <v>359</v>
      </c>
    </row>
    <row r="134" spans="1:6" ht="66" customHeight="1" thickBot="1" x14ac:dyDescent="0.25">
      <c r="A134" s="50" t="s">
        <v>92</v>
      </c>
      <c r="B134" s="30" t="s">
        <v>145</v>
      </c>
      <c r="C134" s="368"/>
      <c r="D134" s="369"/>
      <c r="E134" s="35"/>
      <c r="F134" s="184"/>
    </row>
  </sheetData>
  <sheetProtection algorithmName="SHA-512" hashValue="0czEyyIDu896NuZ0SvFlwRCcVlglLskA1BPpk1DMnfDlXNecWcXw27ftN39Vdij8IDZNt2brK1fufJpXRQbpoQ==" saltValue="j8jpjff1Z3Xi3D/ucR9OwQ=="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80" priority="38">
      <formula>#REF!="NO"</formula>
    </cfRule>
  </conditionalFormatting>
  <conditionalFormatting sqref="C40:D42">
    <cfRule type="expression" dxfId="79" priority="8">
      <formula>$F$2="NO"</formula>
    </cfRule>
  </conditionalFormatting>
  <conditionalFormatting sqref="C26:E39">
    <cfRule type="expression" dxfId="78" priority="39">
      <formula>#REF!="NO"</formula>
    </cfRule>
  </conditionalFormatting>
  <conditionalFormatting sqref="C43:E79">
    <cfRule type="expression" dxfId="77" priority="7">
      <formula>#REF!="NO"</formula>
    </cfRule>
  </conditionalFormatting>
  <conditionalFormatting sqref="C105:F134">
    <cfRule type="expression" dxfId="76" priority="12">
      <formula>#REF!="NO"</formula>
    </cfRule>
  </conditionalFormatting>
  <conditionalFormatting sqref="E40:E42">
    <cfRule type="expression" dxfId="75" priority="11">
      <formula>#REF!="NO"</formula>
    </cfRule>
  </conditionalFormatting>
  <conditionalFormatting sqref="E83:F101">
    <cfRule type="expression" dxfId="74" priority="1">
      <formula>#REF!="NO"</formula>
    </cfRule>
  </conditionalFormatting>
  <conditionalFormatting sqref="F8:F17">
    <cfRule type="expression" dxfId="73" priority="35">
      <formula>#REF!="NO"</formula>
    </cfRule>
  </conditionalFormatting>
  <conditionalFormatting sqref="F21:F22">
    <cfRule type="expression" dxfId="72" priority="36">
      <formula>#REF!="NO"</formula>
    </cfRule>
  </conditionalFormatting>
  <conditionalFormatting sqref="F26:G79">
    <cfRule type="expression" dxfId="71" priority="5">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900-000002000000}">
      <formula1>0.01</formula1>
      <formula2>100</formula2>
    </dataValidation>
    <dataValidation type="decimal" allowBlank="1" showInputMessage="1" showErrorMessage="1" error="Invalid Entry - Bidder must enter a value that is greater than $0" sqref="F21" xr:uid="{00000000-0002-0000-0900-000001000000}">
      <formula1>0</formula1>
      <formula2>9E+21</formula2>
    </dataValidation>
    <dataValidation type="decimal" operator="greaterThanOrEqual" allowBlank="1" showInputMessage="1" showErrorMessage="1" error="The Pickup Allowance cannot be a negative number." sqref="F16" xr:uid="{00000000-0002-0000-09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EEFE9-19DD-400C-B384-31EADCA1CF90}">
  <sheetPr>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ht="18" customHeight="1" x14ac:dyDescent="0.2">
      <c r="A1" s="165" t="str">
        <f>'A (Item 2-G)'!$A$1</f>
        <v>GROUP 40524-23254, SCHOOL BUSES (Statewide)                                                             Attachment 1 - Specifications and Pricing (Revised October 15, 2026)</v>
      </c>
      <c r="F1" s="210"/>
    </row>
    <row r="2" spans="1:7" s="25" customFormat="1" ht="18" customHeight="1" thickBot="1" x14ac:dyDescent="0.3">
      <c r="A2" s="316" t="str">
        <f>'Attachment 1 - Summary'!B2</f>
        <v>PC69864 New York Bus Sales, LLC</v>
      </c>
      <c r="B2" s="26"/>
      <c r="C2" s="26"/>
      <c r="D2" s="26"/>
      <c r="E2" s="26"/>
      <c r="F2" s="314"/>
      <c r="G2" s="26"/>
    </row>
    <row r="3" spans="1:7" ht="24" thickBot="1" x14ac:dyDescent="0.25">
      <c r="A3" s="456" t="s">
        <v>480</v>
      </c>
      <c r="B3" s="457"/>
      <c r="C3" s="457"/>
      <c r="D3" s="458"/>
      <c r="E3" s="9"/>
      <c r="F3" s="312"/>
      <c r="G3" s="9"/>
    </row>
    <row r="4" spans="1:7" ht="51" customHeight="1" thickBot="1" x14ac:dyDescent="0.25">
      <c r="A4" s="343" t="s">
        <v>479</v>
      </c>
      <c r="B4" s="344"/>
      <c r="C4" s="344"/>
      <c r="D4" s="345"/>
      <c r="E4" s="9"/>
      <c r="F4" s="312"/>
      <c r="G4" s="9"/>
    </row>
    <row r="5" spans="1:7" s="4" customFormat="1" ht="11.25" customHeight="1" thickBot="1" x14ac:dyDescent="0.3">
      <c r="A5" s="57"/>
      <c r="B5" s="57"/>
      <c r="C5" s="57"/>
      <c r="D5" s="57"/>
      <c r="E5" s="57"/>
      <c r="F5" s="313"/>
    </row>
    <row r="6" spans="1:7" s="8" customFormat="1" ht="16.5" customHeight="1" thickBot="1" x14ac:dyDescent="0.25">
      <c r="A6" s="346" t="s">
        <v>151</v>
      </c>
      <c r="B6" s="347"/>
      <c r="C6" s="347"/>
      <c r="D6" s="348"/>
      <c r="E6" s="36"/>
      <c r="F6" s="181" t="s">
        <v>420</v>
      </c>
      <c r="G6" s="36"/>
    </row>
    <row r="7" spans="1:7" s="4" customFormat="1" ht="15" customHeight="1" thickBot="1" x14ac:dyDescent="0.3">
      <c r="A7" s="41" t="s">
        <v>6</v>
      </c>
      <c r="B7" s="27" t="s">
        <v>165</v>
      </c>
      <c r="C7" s="32"/>
      <c r="D7" s="40"/>
      <c r="E7" s="37"/>
      <c r="F7" s="188" t="s">
        <v>19</v>
      </c>
      <c r="G7" s="37"/>
    </row>
    <row r="8" spans="1:7" ht="65.25" thickTop="1" thickBot="1" x14ac:dyDescent="0.25">
      <c r="A8" s="42" t="s">
        <v>9</v>
      </c>
      <c r="B8" s="337" t="s">
        <v>152</v>
      </c>
      <c r="C8" s="338"/>
      <c r="D8" s="339"/>
      <c r="E8" s="13"/>
      <c r="F8" s="167" t="s">
        <v>419</v>
      </c>
      <c r="G8" s="13"/>
    </row>
    <row r="9" spans="1:7" s="8" customFormat="1" ht="44.25" customHeight="1" thickTop="1" thickBot="1" x14ac:dyDescent="0.25">
      <c r="A9" s="42" t="s">
        <v>136</v>
      </c>
      <c r="B9" s="337" t="s">
        <v>191</v>
      </c>
      <c r="C9" s="338"/>
      <c r="D9" s="339"/>
      <c r="E9" s="13"/>
      <c r="F9" s="167" t="s">
        <v>497</v>
      </c>
      <c r="G9" s="13"/>
    </row>
    <row r="10" spans="1:7" ht="12.75" customHeight="1" thickTop="1" x14ac:dyDescent="0.2">
      <c r="A10" s="43" t="s">
        <v>0</v>
      </c>
      <c r="B10" s="328" t="s">
        <v>154</v>
      </c>
      <c r="C10" s="329"/>
      <c r="D10" s="330"/>
      <c r="E10" s="13"/>
      <c r="F10" s="169" t="s">
        <v>420</v>
      </c>
      <c r="G10" s="13"/>
    </row>
    <row r="11" spans="1:7" x14ac:dyDescent="0.2">
      <c r="A11" s="43" t="s">
        <v>1</v>
      </c>
      <c r="B11" s="328" t="s">
        <v>153</v>
      </c>
      <c r="C11" s="329"/>
      <c r="D11" s="330"/>
      <c r="E11" s="13"/>
      <c r="F11" s="169" t="s">
        <v>476</v>
      </c>
      <c r="G11" s="13"/>
    </row>
    <row r="12" spans="1:7" ht="12.75" customHeight="1" thickBot="1" x14ac:dyDescent="0.25">
      <c r="A12" s="44" t="s">
        <v>2</v>
      </c>
      <c r="B12" s="331" t="s">
        <v>155</v>
      </c>
      <c r="C12" s="332"/>
      <c r="D12" s="333"/>
      <c r="E12" s="13"/>
      <c r="F12" s="170">
        <v>3406</v>
      </c>
      <c r="G12" s="13"/>
    </row>
    <row r="13" spans="1:7" ht="13.5" thickTop="1" x14ac:dyDescent="0.2">
      <c r="A13" s="43" t="s">
        <v>3</v>
      </c>
      <c r="B13" s="328" t="s">
        <v>157</v>
      </c>
      <c r="C13" s="329"/>
      <c r="D13" s="330"/>
      <c r="E13" s="13"/>
      <c r="F13" s="169" t="s">
        <v>420</v>
      </c>
      <c r="G13" s="13"/>
    </row>
    <row r="14" spans="1:7" x14ac:dyDescent="0.2">
      <c r="A14" s="43" t="s">
        <v>4</v>
      </c>
      <c r="B14" s="328" t="s">
        <v>156</v>
      </c>
      <c r="C14" s="329"/>
      <c r="D14" s="330"/>
      <c r="E14" s="13"/>
      <c r="F14" s="169" t="s">
        <v>476</v>
      </c>
      <c r="G14" s="13"/>
    </row>
    <row r="15" spans="1:7" ht="15.75" customHeight="1" thickBot="1" x14ac:dyDescent="0.25">
      <c r="A15" s="45" t="s">
        <v>5</v>
      </c>
      <c r="B15" s="331" t="s">
        <v>158</v>
      </c>
      <c r="C15" s="332"/>
      <c r="D15" s="333"/>
      <c r="E15" s="13"/>
      <c r="F15" s="172">
        <v>3406</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16.5" customHeight="1" thickBot="1" x14ac:dyDescent="0.25">
      <c r="A19" s="346" t="s">
        <v>150</v>
      </c>
      <c r="B19" s="347"/>
      <c r="C19" s="347"/>
      <c r="D19" s="348"/>
      <c r="E19" s="36"/>
      <c r="F19" s="181" t="s">
        <v>420</v>
      </c>
      <c r="G19" s="36"/>
    </row>
    <row r="20" spans="1:7" s="4" customFormat="1" ht="15" customHeight="1" thickBot="1" x14ac:dyDescent="0.3">
      <c r="A20" s="55" t="s">
        <v>6</v>
      </c>
      <c r="B20" s="31" t="s">
        <v>165</v>
      </c>
      <c r="C20" s="33"/>
      <c r="D20" s="48"/>
      <c r="E20" s="37"/>
      <c r="F20" s="188" t="s">
        <v>19</v>
      </c>
      <c r="G20" s="37"/>
    </row>
    <row r="21" spans="1:7" ht="56.25" customHeight="1" x14ac:dyDescent="0.2">
      <c r="A21" s="46" t="s">
        <v>42</v>
      </c>
      <c r="B21" s="349" t="s">
        <v>161</v>
      </c>
      <c r="C21" s="350"/>
      <c r="D21" s="351"/>
      <c r="E21" s="13"/>
      <c r="F21" s="197">
        <f>149600*('PPI Adj'!D6)</f>
        <v>174583.2</v>
      </c>
      <c r="G21" s="13"/>
    </row>
    <row r="22" spans="1:7" ht="33" customHeight="1" thickBot="1" x14ac:dyDescent="0.25">
      <c r="A22" s="47" t="s">
        <v>41</v>
      </c>
      <c r="B22" s="370" t="s">
        <v>163</v>
      </c>
      <c r="C22" s="371"/>
      <c r="D22" s="372"/>
      <c r="E22" s="1"/>
      <c r="F22" s="179">
        <v>22</v>
      </c>
      <c r="G22" s="1"/>
    </row>
    <row r="23" spans="1:7" ht="13.5" thickBot="1" x14ac:dyDescent="0.25">
      <c r="A23" s="58"/>
      <c r="B23" s="1"/>
      <c r="C23" s="1"/>
      <c r="D23" s="1"/>
      <c r="E23" s="1"/>
      <c r="F23" s="180"/>
      <c r="G23" s="1"/>
    </row>
    <row r="24" spans="1:7" s="8" customFormat="1" ht="15.75" customHeight="1" thickBot="1" x14ac:dyDescent="0.25">
      <c r="A24" s="373" t="s">
        <v>164</v>
      </c>
      <c r="B24" s="374"/>
      <c r="C24" s="374"/>
      <c r="D24" s="375"/>
      <c r="E24" s="38"/>
      <c r="F24" s="181" t="s">
        <v>420</v>
      </c>
      <c r="G24" s="38"/>
    </row>
    <row r="25" spans="1:7" s="3" customFormat="1" ht="15" customHeight="1" thickBot="1" x14ac:dyDescent="0.3">
      <c r="A25" s="55" t="s">
        <v>6</v>
      </c>
      <c r="B25" s="56" t="s">
        <v>7</v>
      </c>
      <c r="C25" s="376" t="s">
        <v>165</v>
      </c>
      <c r="D25" s="377"/>
      <c r="E25" s="39"/>
      <c r="F25" s="188" t="s">
        <v>19</v>
      </c>
      <c r="G25" s="39"/>
    </row>
    <row r="26" spans="1:7" s="13" customFormat="1" ht="66.95" customHeight="1" thickBot="1" x14ac:dyDescent="0.3">
      <c r="A26" s="49" t="s">
        <v>8</v>
      </c>
      <c r="B26" s="30" t="s">
        <v>474</v>
      </c>
      <c r="C26" s="352" t="s">
        <v>118</v>
      </c>
      <c r="D26" s="353"/>
      <c r="E26" s="34"/>
      <c r="F26" s="174">
        <v>31350</v>
      </c>
      <c r="G26" s="34"/>
    </row>
    <row r="27" spans="1:7" s="13" customFormat="1" x14ac:dyDescent="0.25">
      <c r="A27" s="354" t="s">
        <v>21</v>
      </c>
      <c r="B27" s="356" t="s">
        <v>478</v>
      </c>
      <c r="C27" s="358" t="s">
        <v>67</v>
      </c>
      <c r="D27" s="359"/>
      <c r="E27" s="34"/>
      <c r="F27" s="183">
        <v>11</v>
      </c>
      <c r="G27" s="34"/>
    </row>
    <row r="28" spans="1:7" s="13" customFormat="1" ht="13.5" thickBot="1" x14ac:dyDescent="0.3">
      <c r="A28" s="355"/>
      <c r="B28" s="357"/>
      <c r="C28" s="352" t="s">
        <v>68</v>
      </c>
      <c r="D28" s="353"/>
      <c r="E28" s="34"/>
      <c r="F28" s="174">
        <v>66</v>
      </c>
      <c r="G28" s="34"/>
    </row>
    <row r="29" spans="1:7" s="13" customFormat="1" ht="13.5" thickBot="1" x14ac:dyDescent="0.3">
      <c r="A29" s="50" t="s">
        <v>123</v>
      </c>
      <c r="B29" s="30" t="s">
        <v>108</v>
      </c>
      <c r="C29" s="368"/>
      <c r="D29" s="369"/>
      <c r="E29" s="35"/>
      <c r="F29" s="184"/>
      <c r="G29" s="35"/>
    </row>
    <row r="30" spans="1:7" s="13" customFormat="1" x14ac:dyDescent="0.25">
      <c r="A30" s="354" t="s">
        <v>59</v>
      </c>
      <c r="B30" s="356"/>
      <c r="C30" s="358" t="s">
        <v>58</v>
      </c>
      <c r="D30" s="359"/>
      <c r="E30" s="34"/>
      <c r="F30" s="183">
        <v>190</v>
      </c>
      <c r="G30" s="34"/>
    </row>
    <row r="31" spans="1:7" s="13" customFormat="1" x14ac:dyDescent="0.25">
      <c r="A31" s="362"/>
      <c r="B31" s="363"/>
      <c r="C31" s="364" t="s">
        <v>57</v>
      </c>
      <c r="D31" s="365"/>
      <c r="E31" s="34"/>
      <c r="F31" s="169">
        <v>445.9</v>
      </c>
      <c r="G31" s="34"/>
    </row>
    <row r="32" spans="1:7" s="13" customFormat="1" x14ac:dyDescent="0.25">
      <c r="A32" s="362"/>
      <c r="B32" s="363"/>
      <c r="C32" s="364" t="s">
        <v>69</v>
      </c>
      <c r="D32" s="365"/>
      <c r="E32" s="34"/>
      <c r="F32" s="169">
        <v>90.75</v>
      </c>
      <c r="G32" s="34"/>
    </row>
    <row r="33" spans="1:7" s="13" customFormat="1" x14ac:dyDescent="0.25">
      <c r="A33" s="362"/>
      <c r="B33" s="363"/>
      <c r="C33" s="366" t="s">
        <v>70</v>
      </c>
      <c r="D33" s="367"/>
      <c r="E33" s="34"/>
      <c r="F33" s="169">
        <v>77</v>
      </c>
      <c r="G33" s="34"/>
    </row>
    <row r="34" spans="1:7" s="13" customFormat="1" ht="13.5" thickBot="1" x14ac:dyDescent="0.3">
      <c r="A34" s="355"/>
      <c r="B34" s="357"/>
      <c r="C34" s="352" t="s">
        <v>111</v>
      </c>
      <c r="D34" s="353"/>
      <c r="E34" s="34"/>
      <c r="F34" s="174">
        <v>284.5</v>
      </c>
      <c r="G34" s="34"/>
    </row>
    <row r="35" spans="1:7" s="13" customFormat="1" x14ac:dyDescent="0.25">
      <c r="A35" s="354" t="s">
        <v>11</v>
      </c>
      <c r="B35" s="356"/>
      <c r="C35" s="358" t="s">
        <v>24</v>
      </c>
      <c r="D35" s="359"/>
      <c r="E35" s="34"/>
      <c r="F35" s="183">
        <v>12350</v>
      </c>
      <c r="G35" s="34"/>
    </row>
    <row r="36" spans="1:7" s="13" customFormat="1" ht="13.5" thickBot="1" x14ac:dyDescent="0.3">
      <c r="A36" s="355"/>
      <c r="B36" s="357"/>
      <c r="C36" s="352" t="s">
        <v>22</v>
      </c>
      <c r="D36" s="353"/>
      <c r="E36" s="34"/>
      <c r="F36" s="174">
        <v>13200</v>
      </c>
      <c r="G36" s="34"/>
    </row>
    <row r="37" spans="1:7" s="13" customFormat="1" x14ac:dyDescent="0.25">
      <c r="A37" s="354" t="s">
        <v>16</v>
      </c>
      <c r="B37" s="356"/>
      <c r="C37" s="358" t="s">
        <v>24</v>
      </c>
      <c r="D37" s="359"/>
      <c r="E37" s="34"/>
      <c r="F37" s="183">
        <v>19000</v>
      </c>
      <c r="G37" s="34"/>
    </row>
    <row r="38" spans="1:7" s="13" customFormat="1" ht="13.5" thickBot="1" x14ac:dyDescent="0.3">
      <c r="A38" s="355"/>
      <c r="B38" s="357"/>
      <c r="C38" s="360" t="s">
        <v>23</v>
      </c>
      <c r="D38" s="361"/>
      <c r="E38" s="34"/>
      <c r="F38" s="174">
        <v>21000</v>
      </c>
      <c r="G38" s="34"/>
    </row>
    <row r="39" spans="1:7" s="13" customFormat="1" ht="15.6" customHeight="1" thickBot="1" x14ac:dyDescent="0.3">
      <c r="A39" s="50" t="s">
        <v>52</v>
      </c>
      <c r="B39" s="30" t="s">
        <v>53</v>
      </c>
      <c r="C39" s="368"/>
      <c r="D39" s="369"/>
      <c r="E39" s="35"/>
      <c r="F39" s="184"/>
      <c r="G39" s="35"/>
    </row>
    <row r="40" spans="1:7" s="13" customFormat="1" x14ac:dyDescent="0.25">
      <c r="A40" s="354" t="s">
        <v>219</v>
      </c>
      <c r="B40" s="356" t="s">
        <v>222</v>
      </c>
      <c r="C40" s="358" t="s">
        <v>221</v>
      </c>
      <c r="D40" s="359"/>
      <c r="E40" s="34"/>
      <c r="F40" s="183" t="s">
        <v>257</v>
      </c>
      <c r="G40" s="34"/>
    </row>
    <row r="41" spans="1:7" s="13" customFormat="1" ht="14.45" customHeight="1" x14ac:dyDescent="0.25">
      <c r="A41" s="362"/>
      <c r="B41" s="363"/>
      <c r="C41" s="364" t="s">
        <v>220</v>
      </c>
      <c r="D41" s="365"/>
      <c r="E41" s="34"/>
      <c r="F41" s="169" t="s">
        <v>425</v>
      </c>
      <c r="G41" s="34"/>
    </row>
    <row r="42" spans="1:7" s="13" customFormat="1" ht="71.099999999999994" customHeight="1" thickBot="1" x14ac:dyDescent="0.3">
      <c r="A42" s="355"/>
      <c r="B42" s="363"/>
      <c r="C42" s="360"/>
      <c r="D42" s="361"/>
      <c r="E42" s="34"/>
      <c r="F42" s="171"/>
      <c r="G42" s="34"/>
    </row>
    <row r="43" spans="1:7" s="13" customFormat="1" ht="29.45" customHeight="1" thickBot="1" x14ac:dyDescent="0.3">
      <c r="A43" s="50" t="s">
        <v>219</v>
      </c>
      <c r="B43" s="30" t="s">
        <v>218</v>
      </c>
      <c r="C43" s="368"/>
      <c r="D43" s="369"/>
      <c r="E43" s="35"/>
      <c r="F43" s="184"/>
      <c r="G43" s="35"/>
    </row>
    <row r="44" spans="1:7" s="13" customFormat="1" ht="13.5" thickBot="1" x14ac:dyDescent="0.3">
      <c r="A44" s="378" t="s">
        <v>12</v>
      </c>
      <c r="B44" s="379" t="s">
        <v>142</v>
      </c>
      <c r="C44" s="358" t="s">
        <v>174</v>
      </c>
      <c r="D44" s="359"/>
      <c r="E44" s="34"/>
      <c r="F44" s="183" t="s">
        <v>278</v>
      </c>
      <c r="G44" s="34"/>
    </row>
    <row r="45" spans="1:7" s="13" customFormat="1" ht="13.5" thickBot="1" x14ac:dyDescent="0.3">
      <c r="A45" s="378"/>
      <c r="B45" s="379"/>
      <c r="C45" s="364" t="s">
        <v>175</v>
      </c>
      <c r="D45" s="365"/>
      <c r="E45" s="34"/>
      <c r="F45" s="169">
        <v>6610</v>
      </c>
      <c r="G45" s="34"/>
    </row>
    <row r="46" spans="1:7" s="13" customFormat="1" ht="13.5" thickBot="1" x14ac:dyDescent="0.3">
      <c r="A46" s="378"/>
      <c r="B46" s="379"/>
      <c r="C46" s="364" t="s">
        <v>176</v>
      </c>
      <c r="D46" s="365"/>
      <c r="E46" s="34"/>
      <c r="F46" s="185" t="s">
        <v>278</v>
      </c>
      <c r="G46" s="34"/>
    </row>
    <row r="47" spans="1:7" s="13" customFormat="1" ht="13.5" thickBot="1" x14ac:dyDescent="0.3">
      <c r="A47" s="378"/>
      <c r="B47" s="379"/>
      <c r="C47" s="364" t="s">
        <v>177</v>
      </c>
      <c r="D47" s="365"/>
      <c r="E47" s="34"/>
      <c r="F47" s="169">
        <v>6005</v>
      </c>
      <c r="G47" s="34"/>
    </row>
    <row r="48" spans="1:7" s="13" customFormat="1" ht="13.5" thickBot="1" x14ac:dyDescent="0.3">
      <c r="A48" s="378"/>
      <c r="B48" s="379"/>
      <c r="C48" s="364" t="s">
        <v>112</v>
      </c>
      <c r="D48" s="365"/>
      <c r="E48" s="34"/>
      <c r="F48" s="169" t="s">
        <v>426</v>
      </c>
      <c r="G48" s="34"/>
    </row>
    <row r="49" spans="1:7" s="13" customFormat="1" ht="13.5" thickBot="1" x14ac:dyDescent="0.3">
      <c r="A49" s="378"/>
      <c r="B49" s="379"/>
      <c r="C49" s="364" t="s">
        <v>113</v>
      </c>
      <c r="D49" s="365"/>
      <c r="E49" s="34"/>
      <c r="F49" s="169" t="s">
        <v>493</v>
      </c>
      <c r="G49" s="34"/>
    </row>
    <row r="50" spans="1:7" s="13" customFormat="1" ht="13.5" thickBot="1" x14ac:dyDescent="0.3">
      <c r="A50" s="378"/>
      <c r="B50" s="379"/>
      <c r="C50" s="366" t="s">
        <v>114</v>
      </c>
      <c r="D50" s="367"/>
      <c r="E50" s="34"/>
      <c r="F50" s="169" t="s">
        <v>426</v>
      </c>
      <c r="G50" s="34"/>
    </row>
    <row r="51" spans="1:7" s="13" customFormat="1" ht="13.5" thickBot="1" x14ac:dyDescent="0.3">
      <c r="A51" s="378"/>
      <c r="B51" s="379"/>
      <c r="C51" s="352" t="s">
        <v>115</v>
      </c>
      <c r="D51" s="353"/>
      <c r="E51" s="34"/>
      <c r="F51" s="174" t="s">
        <v>493</v>
      </c>
      <c r="G51" s="34"/>
    </row>
    <row r="52" spans="1:7" s="13" customFormat="1" x14ac:dyDescent="0.25">
      <c r="A52" s="354" t="s">
        <v>10</v>
      </c>
      <c r="B52" s="356" t="s">
        <v>217</v>
      </c>
      <c r="C52" s="358" t="s">
        <v>116</v>
      </c>
      <c r="D52" s="359"/>
      <c r="E52" s="34"/>
      <c r="F52" s="183">
        <v>5</v>
      </c>
      <c r="G52" s="34"/>
    </row>
    <row r="53" spans="1:7" s="13" customFormat="1" x14ac:dyDescent="0.25">
      <c r="A53" s="362"/>
      <c r="B53" s="363"/>
      <c r="C53" s="364" t="s">
        <v>117</v>
      </c>
      <c r="D53" s="365"/>
      <c r="E53" s="34"/>
      <c r="F53" s="169" t="s">
        <v>494</v>
      </c>
      <c r="G53" s="34"/>
    </row>
    <row r="54" spans="1:7" s="13" customFormat="1" ht="26.25" thickBot="1" x14ac:dyDescent="0.3">
      <c r="A54" s="362"/>
      <c r="B54" s="363"/>
      <c r="C54" s="360" t="s">
        <v>71</v>
      </c>
      <c r="D54" s="361"/>
      <c r="E54" s="34"/>
      <c r="F54" s="171" t="s">
        <v>495</v>
      </c>
      <c r="G54" s="34"/>
    </row>
    <row r="55" spans="1:7" s="13" customFormat="1" ht="78" customHeight="1" thickBot="1" x14ac:dyDescent="0.3">
      <c r="A55" s="51" t="s">
        <v>9</v>
      </c>
      <c r="B55" s="28" t="s">
        <v>256</v>
      </c>
      <c r="C55" s="366"/>
      <c r="D55" s="367"/>
      <c r="E55" s="34"/>
      <c r="F55" s="183"/>
      <c r="G55" s="34"/>
    </row>
    <row r="56" spans="1:7" s="13" customFormat="1" ht="29.45" customHeight="1" thickBot="1" x14ac:dyDescent="0.3">
      <c r="A56" s="51" t="s">
        <v>255</v>
      </c>
      <c r="B56" s="28" t="s">
        <v>254</v>
      </c>
      <c r="C56" s="368"/>
      <c r="D56" s="369"/>
      <c r="E56" s="35"/>
      <c r="F56" s="186"/>
      <c r="G56" s="35"/>
    </row>
    <row r="57" spans="1:7" s="13" customFormat="1" x14ac:dyDescent="0.25">
      <c r="A57" s="354" t="s">
        <v>25</v>
      </c>
      <c r="B57" s="356" t="s">
        <v>93</v>
      </c>
      <c r="C57" s="358" t="s">
        <v>72</v>
      </c>
      <c r="D57" s="359"/>
      <c r="E57" s="34"/>
      <c r="F57" s="183" t="s">
        <v>430</v>
      </c>
      <c r="G57" s="34"/>
    </row>
    <row r="58" spans="1:7" s="13" customFormat="1" ht="59.1" customHeight="1" thickBot="1" x14ac:dyDescent="0.3">
      <c r="A58" s="355"/>
      <c r="B58" s="357"/>
      <c r="C58" s="352" t="s">
        <v>73</v>
      </c>
      <c r="D58" s="353"/>
      <c r="E58" s="34"/>
      <c r="F58" s="174">
        <v>240</v>
      </c>
      <c r="G58" s="34"/>
    </row>
    <row r="59" spans="1:7" s="13" customFormat="1" x14ac:dyDescent="0.25">
      <c r="A59" s="354" t="s">
        <v>26</v>
      </c>
      <c r="B59" s="356" t="s">
        <v>253</v>
      </c>
      <c r="C59" s="358" t="s">
        <v>74</v>
      </c>
      <c r="D59" s="359"/>
      <c r="E59" s="34"/>
      <c r="F59" s="183" t="s">
        <v>431</v>
      </c>
      <c r="G59" s="34"/>
    </row>
    <row r="60" spans="1:7" s="13" customFormat="1" x14ac:dyDescent="0.25">
      <c r="A60" s="362"/>
      <c r="B60" s="363"/>
      <c r="C60" s="364" t="s">
        <v>75</v>
      </c>
      <c r="D60" s="365"/>
      <c r="E60" s="34"/>
      <c r="F60" s="169">
        <v>3</v>
      </c>
      <c r="G60" s="34"/>
    </row>
    <row r="61" spans="1:7" s="13" customFormat="1" ht="32.25" customHeight="1" thickBot="1" x14ac:dyDescent="0.3">
      <c r="A61" s="355"/>
      <c r="B61" s="357"/>
      <c r="C61" s="352" t="s">
        <v>252</v>
      </c>
      <c r="D61" s="353"/>
      <c r="E61" s="34"/>
      <c r="F61" s="174">
        <v>700</v>
      </c>
      <c r="G61" s="34"/>
    </row>
    <row r="62" spans="1:7" s="13" customFormat="1" ht="15.95" customHeight="1" thickBot="1" x14ac:dyDescent="0.3">
      <c r="A62" s="50" t="s">
        <v>44</v>
      </c>
      <c r="B62" s="30" t="s">
        <v>45</v>
      </c>
      <c r="C62" s="368"/>
      <c r="D62" s="369"/>
      <c r="E62" s="35"/>
      <c r="F62" s="186"/>
      <c r="G62" s="35"/>
    </row>
    <row r="63" spans="1:7" s="13" customFormat="1" ht="28.5" customHeight="1" thickBot="1" x14ac:dyDescent="0.3">
      <c r="A63" s="50" t="s">
        <v>44</v>
      </c>
      <c r="B63" s="30" t="s">
        <v>63</v>
      </c>
      <c r="C63" s="368"/>
      <c r="D63" s="369"/>
      <c r="E63" s="35"/>
      <c r="F63" s="186"/>
      <c r="G63" s="35"/>
    </row>
    <row r="64" spans="1:7" s="13" customFormat="1" ht="27.95" customHeight="1" thickBot="1" x14ac:dyDescent="0.3">
      <c r="A64" s="50" t="s">
        <v>44</v>
      </c>
      <c r="B64" s="30" t="s">
        <v>64</v>
      </c>
      <c r="C64" s="368"/>
      <c r="D64" s="369"/>
      <c r="E64" s="35"/>
      <c r="F64" s="186"/>
      <c r="G64" s="35"/>
    </row>
    <row r="65" spans="1:7" s="13" customFormat="1" ht="30" customHeight="1" thickBot="1" x14ac:dyDescent="0.3">
      <c r="A65" s="50" t="s">
        <v>50</v>
      </c>
      <c r="B65" s="30" t="s">
        <v>216</v>
      </c>
      <c r="C65" s="368"/>
      <c r="D65" s="369"/>
      <c r="E65" s="35"/>
      <c r="F65" s="186"/>
      <c r="G65" s="35"/>
    </row>
    <row r="66" spans="1:7" s="13" customFormat="1" ht="15.95" customHeight="1" thickBot="1" x14ac:dyDescent="0.3">
      <c r="A66" s="50" t="s">
        <v>27</v>
      </c>
      <c r="B66" s="30" t="s">
        <v>215</v>
      </c>
      <c r="C66" s="380" t="s">
        <v>77</v>
      </c>
      <c r="D66" s="381"/>
      <c r="E66" s="34"/>
      <c r="F66" s="184" t="s">
        <v>496</v>
      </c>
      <c r="G66" s="34"/>
    </row>
    <row r="67" spans="1:7" s="13" customFormat="1" ht="53.1" customHeight="1" thickBot="1" x14ac:dyDescent="0.3">
      <c r="A67" s="50" t="s">
        <v>214</v>
      </c>
      <c r="B67" s="30" t="s">
        <v>213</v>
      </c>
      <c r="C67" s="380"/>
      <c r="D67" s="381"/>
      <c r="E67" s="34"/>
      <c r="F67" s="184"/>
      <c r="G67" s="34"/>
    </row>
    <row r="68" spans="1:7" s="13" customFormat="1" ht="15" customHeight="1" x14ac:dyDescent="0.25">
      <c r="A68" s="354" t="s">
        <v>28</v>
      </c>
      <c r="B68" s="356" t="s">
        <v>265</v>
      </c>
      <c r="C68" s="425" t="s">
        <v>250</v>
      </c>
      <c r="D68" s="359"/>
      <c r="E68" s="34"/>
      <c r="F68" s="183" t="s">
        <v>455</v>
      </c>
      <c r="G68" s="34"/>
    </row>
    <row r="69" spans="1:7" s="13" customFormat="1" ht="29.25" customHeight="1" thickBot="1" x14ac:dyDescent="0.3">
      <c r="A69" s="355"/>
      <c r="B69" s="357"/>
      <c r="C69" s="426" t="s">
        <v>249</v>
      </c>
      <c r="D69" s="353"/>
      <c r="E69" s="34"/>
      <c r="F69" s="174" t="s">
        <v>434</v>
      </c>
      <c r="G69" s="34"/>
    </row>
    <row r="70" spans="1:7" s="13" customFormat="1" ht="40.5" customHeight="1" thickBot="1" x14ac:dyDescent="0.3">
      <c r="A70" s="50" t="s">
        <v>51</v>
      </c>
      <c r="B70" s="30" t="s">
        <v>212</v>
      </c>
      <c r="C70" s="368"/>
      <c r="D70" s="369"/>
      <c r="E70" s="35"/>
      <c r="F70" s="184"/>
      <c r="G70" s="35"/>
    </row>
    <row r="71" spans="1:7" s="13" customFormat="1" ht="39" thickBot="1" x14ac:dyDescent="0.3">
      <c r="A71" s="50" t="s">
        <v>54</v>
      </c>
      <c r="B71" s="30" t="s">
        <v>80</v>
      </c>
      <c r="C71" s="368"/>
      <c r="D71" s="369"/>
      <c r="E71" s="35"/>
      <c r="F71" s="184"/>
      <c r="G71" s="35"/>
    </row>
    <row r="72" spans="1:7" s="13" customFormat="1" ht="79.5" customHeight="1" thickBot="1" x14ac:dyDescent="0.3">
      <c r="A72" s="50" t="s">
        <v>29</v>
      </c>
      <c r="B72" s="30" t="s">
        <v>211</v>
      </c>
      <c r="C72" s="368"/>
      <c r="D72" s="369"/>
      <c r="E72" s="35"/>
      <c r="F72" s="184"/>
      <c r="G72" s="35"/>
    </row>
    <row r="73" spans="1:7" s="13" customFormat="1" ht="51.95" customHeight="1" thickBot="1" x14ac:dyDescent="0.3">
      <c r="A73" s="50" t="s">
        <v>31</v>
      </c>
      <c r="B73" s="30" t="s">
        <v>210</v>
      </c>
      <c r="C73" s="380" t="s">
        <v>30</v>
      </c>
      <c r="D73" s="381"/>
      <c r="E73" s="34"/>
      <c r="F73" s="184" t="s">
        <v>435</v>
      </c>
      <c r="G73" s="34"/>
    </row>
    <row r="74" spans="1:7" s="13" customFormat="1" ht="30" customHeight="1" thickBot="1" x14ac:dyDescent="0.3">
      <c r="A74" s="50" t="s">
        <v>55</v>
      </c>
      <c r="B74" s="30" t="s">
        <v>95</v>
      </c>
      <c r="C74" s="368"/>
      <c r="D74" s="369"/>
      <c r="E74" s="35"/>
      <c r="F74" s="184"/>
      <c r="G74" s="35"/>
    </row>
    <row r="75" spans="1:7" s="13" customFormat="1" ht="29.45" customHeight="1" thickBot="1" x14ac:dyDescent="0.3">
      <c r="A75" s="50" t="s">
        <v>32</v>
      </c>
      <c r="B75" s="30" t="s">
        <v>96</v>
      </c>
      <c r="C75" s="380" t="s">
        <v>30</v>
      </c>
      <c r="D75" s="381"/>
      <c r="E75" s="34"/>
      <c r="F75" s="184" t="s">
        <v>436</v>
      </c>
      <c r="G75" s="34"/>
    </row>
    <row r="76" spans="1:7" s="13" customFormat="1" ht="41.1" customHeight="1" thickBot="1" x14ac:dyDescent="0.3">
      <c r="A76" s="50" t="s">
        <v>56</v>
      </c>
      <c r="B76" s="30" t="s">
        <v>167</v>
      </c>
      <c r="C76" s="368"/>
      <c r="D76" s="369"/>
      <c r="E76" s="35"/>
      <c r="F76" s="184"/>
      <c r="G76" s="35"/>
    </row>
    <row r="77" spans="1:7" s="13" customFormat="1" ht="27" customHeight="1" thickBot="1" x14ac:dyDescent="0.3">
      <c r="A77" s="50" t="s">
        <v>48</v>
      </c>
      <c r="B77" s="30" t="s">
        <v>47</v>
      </c>
      <c r="C77" s="368"/>
      <c r="D77" s="369"/>
      <c r="E77" s="35"/>
      <c r="F77" s="184"/>
      <c r="G77" s="35"/>
    </row>
    <row r="78" spans="1:7" s="13" customFormat="1" ht="29.1" customHeight="1" thickBot="1" x14ac:dyDescent="0.3">
      <c r="A78" s="50" t="s">
        <v>49</v>
      </c>
      <c r="B78" s="30" t="s">
        <v>103</v>
      </c>
      <c r="C78" s="368"/>
      <c r="D78" s="369"/>
      <c r="E78" s="35"/>
      <c r="F78" s="184"/>
      <c r="G78" s="35"/>
    </row>
    <row r="79" spans="1:7" s="13" customFormat="1" ht="26.25" thickBot="1" x14ac:dyDescent="0.3">
      <c r="A79" s="50" t="s">
        <v>46</v>
      </c>
      <c r="B79" s="30" t="s">
        <v>81</v>
      </c>
      <c r="C79" s="368"/>
      <c r="D79" s="369"/>
      <c r="E79" s="35"/>
      <c r="F79" s="184"/>
      <c r="G79" s="35"/>
    </row>
    <row r="80" spans="1:7" ht="13.5" thickBot="1" x14ac:dyDescent="0.25"/>
    <row r="81" spans="1:6" s="17" customFormat="1" ht="18" customHeight="1" thickBot="1" x14ac:dyDescent="0.3">
      <c r="A81" s="373" t="s">
        <v>168</v>
      </c>
      <c r="B81" s="374"/>
      <c r="C81" s="374"/>
      <c r="D81" s="375"/>
      <c r="E81" s="38"/>
      <c r="F81" s="181" t="s">
        <v>420</v>
      </c>
    </row>
    <row r="82" spans="1:6" s="3" customFormat="1" ht="15" customHeight="1" thickBot="1" x14ac:dyDescent="0.3">
      <c r="A82" s="382" t="s">
        <v>169</v>
      </c>
      <c r="B82" s="383"/>
      <c r="C82" s="383"/>
      <c r="D82" s="384"/>
      <c r="E82" s="39"/>
      <c r="F82" s="188" t="s">
        <v>19</v>
      </c>
    </row>
    <row r="83" spans="1:6" s="13" customFormat="1" x14ac:dyDescent="0.25">
      <c r="A83" s="385" t="s">
        <v>83</v>
      </c>
      <c r="B83" s="386"/>
      <c r="C83" s="386"/>
      <c r="D83" s="387"/>
      <c r="E83" s="35"/>
      <c r="F83" s="189">
        <f>-1337.32*('PPI Adj'!D6)</f>
        <v>-1560.6524400000001</v>
      </c>
    </row>
    <row r="84" spans="1:6" s="13" customFormat="1" x14ac:dyDescent="0.25">
      <c r="A84" s="388" t="s">
        <v>34</v>
      </c>
      <c r="B84" s="389"/>
      <c r="C84" s="389"/>
      <c r="D84" s="390"/>
      <c r="E84" s="34"/>
      <c r="F84" s="190">
        <f>544.44*('PPI Adj'!D6)</f>
        <v>635.36148000000003</v>
      </c>
    </row>
    <row r="85" spans="1:6" s="13" customFormat="1" x14ac:dyDescent="0.25">
      <c r="A85" s="388" t="s">
        <v>35</v>
      </c>
      <c r="B85" s="389"/>
      <c r="C85" s="389"/>
      <c r="D85" s="390"/>
      <c r="E85" s="35"/>
      <c r="F85" s="190">
        <f>753.95*('PPI Adj'!D6)</f>
        <v>879.8596500000001</v>
      </c>
    </row>
    <row r="86" spans="1:6" s="13" customFormat="1" x14ac:dyDescent="0.25">
      <c r="A86" s="388" t="s">
        <v>36</v>
      </c>
      <c r="B86" s="389"/>
      <c r="C86" s="389"/>
      <c r="D86" s="390"/>
      <c r="E86" s="34"/>
      <c r="F86" s="190">
        <f>1340.82*('PPI Adj'!D6)</f>
        <v>1564.73694</v>
      </c>
    </row>
    <row r="87" spans="1:6" s="13" customFormat="1" x14ac:dyDescent="0.25">
      <c r="A87" s="388" t="s">
        <v>60</v>
      </c>
      <c r="B87" s="389"/>
      <c r="C87" s="389"/>
      <c r="D87" s="390"/>
      <c r="E87" s="34"/>
      <c r="F87" s="190">
        <f>655.98*('PPI Adj'!D6)</f>
        <v>765.52866000000006</v>
      </c>
    </row>
    <row r="88" spans="1:6" s="13" customFormat="1" x14ac:dyDescent="0.25">
      <c r="A88" s="388" t="s">
        <v>61</v>
      </c>
      <c r="B88" s="389"/>
      <c r="C88" s="389"/>
      <c r="D88" s="390"/>
      <c r="E88" s="34"/>
      <c r="F88" s="190" t="s">
        <v>183</v>
      </c>
    </row>
    <row r="89" spans="1:6" s="13" customFormat="1" x14ac:dyDescent="0.25">
      <c r="A89" s="388" t="s">
        <v>86</v>
      </c>
      <c r="B89" s="389"/>
      <c r="C89" s="389"/>
      <c r="D89" s="390"/>
      <c r="E89" s="34"/>
      <c r="F89" s="190">
        <f>1202.76*('PPI Adj'!D6)</f>
        <v>1403.6209200000001</v>
      </c>
    </row>
    <row r="90" spans="1:6" x14ac:dyDescent="0.2">
      <c r="A90" s="388" t="s">
        <v>85</v>
      </c>
      <c r="B90" s="389"/>
      <c r="C90" s="389"/>
      <c r="D90" s="390"/>
      <c r="E90" s="34"/>
      <c r="F90" s="190">
        <f>5647.79*('PPI Adj'!D6)</f>
        <v>6590.9709300000004</v>
      </c>
    </row>
    <row r="91" spans="1:6" x14ac:dyDescent="0.2">
      <c r="A91" s="388" t="s">
        <v>13</v>
      </c>
      <c r="B91" s="389"/>
      <c r="C91" s="389"/>
      <c r="D91" s="390"/>
      <c r="E91" s="34"/>
      <c r="F91" s="190">
        <f>6533.28*('PPI Adj'!D6)</f>
        <v>7624.3377600000003</v>
      </c>
    </row>
    <row r="92" spans="1:6" x14ac:dyDescent="0.2">
      <c r="A92" s="388" t="s">
        <v>37</v>
      </c>
      <c r="B92" s="389"/>
      <c r="C92" s="389"/>
      <c r="D92" s="390"/>
      <c r="E92" s="35"/>
      <c r="F92" s="190">
        <f>97.5*('PPI Adj'!D6)</f>
        <v>113.7825</v>
      </c>
    </row>
    <row r="93" spans="1:6" x14ac:dyDescent="0.2">
      <c r="A93" s="388" t="s">
        <v>38</v>
      </c>
      <c r="B93" s="389"/>
      <c r="C93" s="389"/>
      <c r="D93" s="390"/>
      <c r="E93" s="35"/>
      <c r="F93" s="190">
        <f>397.8*('PPI Adj'!D6)</f>
        <v>464.23260000000005</v>
      </c>
    </row>
    <row r="94" spans="1:6" x14ac:dyDescent="0.2">
      <c r="A94" s="388" t="s">
        <v>201</v>
      </c>
      <c r="B94" s="389"/>
      <c r="C94" s="389"/>
      <c r="D94" s="390"/>
      <c r="E94" s="35"/>
      <c r="F94" s="190" t="s">
        <v>183</v>
      </c>
    </row>
    <row r="95" spans="1:6" x14ac:dyDescent="0.2">
      <c r="A95" s="388" t="s">
        <v>39</v>
      </c>
      <c r="B95" s="389"/>
      <c r="C95" s="389"/>
      <c r="D95" s="390"/>
      <c r="E95" s="34"/>
      <c r="F95" s="190">
        <f>666.12*('PPI Adj'!D6)</f>
        <v>777.36203999999998</v>
      </c>
    </row>
    <row r="96" spans="1:6" x14ac:dyDescent="0.2">
      <c r="A96" s="388" t="s">
        <v>88</v>
      </c>
      <c r="B96" s="389"/>
      <c r="C96" s="389"/>
      <c r="D96" s="390"/>
      <c r="E96" s="34"/>
      <c r="F96" s="190">
        <f>3939.22*('PPI Adj'!D6)</f>
        <v>4597.0697399999999</v>
      </c>
    </row>
    <row r="97" spans="1:6" x14ac:dyDescent="0.2">
      <c r="A97" s="388" t="s">
        <v>40</v>
      </c>
      <c r="B97" s="389"/>
      <c r="C97" s="389"/>
      <c r="D97" s="390"/>
      <c r="E97" s="34"/>
      <c r="F97" s="190">
        <f>578.76*('PPI Adj'!D6)</f>
        <v>675.41291999999999</v>
      </c>
    </row>
    <row r="98" spans="1:6" x14ac:dyDescent="0.2">
      <c r="A98" s="388" t="s">
        <v>14</v>
      </c>
      <c r="B98" s="389"/>
      <c r="C98" s="389"/>
      <c r="D98" s="390"/>
      <c r="E98" s="34"/>
      <c r="F98" s="190">
        <f>7483.25*('PPI Adj'!D6)</f>
        <v>8732.9527500000004</v>
      </c>
    </row>
    <row r="99" spans="1:6" x14ac:dyDescent="0.2">
      <c r="A99" s="388" t="s">
        <v>91</v>
      </c>
      <c r="B99" s="389"/>
      <c r="C99" s="389"/>
      <c r="D99" s="390"/>
      <c r="E99" s="34"/>
      <c r="F99" s="190">
        <f>1800*('PPI Adj'!D6)</f>
        <v>2100.6</v>
      </c>
    </row>
    <row r="100" spans="1:6" x14ac:dyDescent="0.2">
      <c r="A100" s="394" t="s">
        <v>275</v>
      </c>
      <c r="B100" s="395"/>
      <c r="C100" s="395"/>
      <c r="D100" s="396"/>
      <c r="E100" s="34"/>
      <c r="F100" s="200">
        <f>-413.21*('PPI Adj'!D6)</f>
        <v>-482.21607</v>
      </c>
    </row>
    <row r="101" spans="1:6" ht="13.5" thickBot="1" x14ac:dyDescent="0.25">
      <c r="A101" s="391" t="s">
        <v>92</v>
      </c>
      <c r="B101" s="392"/>
      <c r="C101" s="392"/>
      <c r="D101" s="393"/>
      <c r="E101" s="35"/>
      <c r="F101" s="191">
        <f>1013.03*('PPI Adj'!D6)</f>
        <v>1182.2060100000001</v>
      </c>
    </row>
    <row r="102" spans="1:6" ht="13.5" thickBot="1" x14ac:dyDescent="0.25"/>
    <row r="103" spans="1:6" s="17" customFormat="1" ht="18" customHeight="1" thickBot="1" x14ac:dyDescent="0.3">
      <c r="A103" s="373" t="s">
        <v>166</v>
      </c>
      <c r="B103" s="374"/>
      <c r="C103" s="374"/>
      <c r="D103" s="375"/>
      <c r="E103" s="38"/>
      <c r="F103" s="181" t="s">
        <v>420</v>
      </c>
    </row>
    <row r="104" spans="1:6" s="3" customFormat="1" ht="15" customHeight="1" thickBot="1" x14ac:dyDescent="0.3">
      <c r="A104" s="52" t="s">
        <v>33</v>
      </c>
      <c r="B104" s="24" t="s">
        <v>7</v>
      </c>
      <c r="C104" s="397" t="s">
        <v>165</v>
      </c>
      <c r="D104" s="398"/>
      <c r="E104" s="39"/>
      <c r="F104" s="188" t="s">
        <v>19</v>
      </c>
    </row>
    <row r="105" spans="1:6" s="13" customFormat="1" ht="40.5" customHeight="1" thickBot="1" x14ac:dyDescent="0.3">
      <c r="A105" s="53" t="s">
        <v>83</v>
      </c>
      <c r="B105" s="23" t="s">
        <v>146</v>
      </c>
      <c r="C105" s="399"/>
      <c r="D105" s="400"/>
      <c r="E105" s="35"/>
      <c r="F105" s="184" t="s">
        <v>438</v>
      </c>
    </row>
    <row r="106" spans="1:6" s="13" customFormat="1" ht="26.25" thickBot="1" x14ac:dyDescent="0.3">
      <c r="A106" s="50" t="s">
        <v>34</v>
      </c>
      <c r="B106" s="30" t="s">
        <v>107</v>
      </c>
      <c r="C106" s="380" t="s">
        <v>30</v>
      </c>
      <c r="D106" s="381"/>
      <c r="E106" s="34"/>
      <c r="F106" s="184" t="s">
        <v>439</v>
      </c>
    </row>
    <row r="107" spans="1:6" s="13" customFormat="1" ht="53.45" customHeight="1" thickBot="1" x14ac:dyDescent="0.3">
      <c r="A107" s="50" t="s">
        <v>35</v>
      </c>
      <c r="B107" s="30" t="s">
        <v>97</v>
      </c>
      <c r="C107" s="368"/>
      <c r="D107" s="369"/>
      <c r="E107" s="35"/>
      <c r="F107" s="184"/>
    </row>
    <row r="108" spans="1:6" s="13" customFormat="1" ht="27.95" customHeight="1" thickBot="1" x14ac:dyDescent="0.3">
      <c r="A108" s="50" t="s">
        <v>36</v>
      </c>
      <c r="B108" s="30" t="s">
        <v>84</v>
      </c>
      <c r="C108" s="380" t="s">
        <v>99</v>
      </c>
      <c r="D108" s="381"/>
      <c r="E108" s="34"/>
      <c r="F108" s="184" t="s">
        <v>441</v>
      </c>
    </row>
    <row r="109" spans="1:6" s="13" customFormat="1" ht="12.75" customHeight="1" x14ac:dyDescent="0.25">
      <c r="A109" s="354" t="s">
        <v>60</v>
      </c>
      <c r="B109" s="356" t="s">
        <v>133</v>
      </c>
      <c r="C109" s="358" t="s">
        <v>203</v>
      </c>
      <c r="D109" s="359"/>
      <c r="E109" s="34"/>
      <c r="F109" s="183" t="s">
        <v>278</v>
      </c>
    </row>
    <row r="110" spans="1:6" s="13" customFormat="1" x14ac:dyDescent="0.25">
      <c r="A110" s="362"/>
      <c r="B110" s="363"/>
      <c r="C110" s="364" t="s">
        <v>202</v>
      </c>
      <c r="D110" s="365"/>
      <c r="E110" s="34"/>
      <c r="F110" s="169">
        <v>6005</v>
      </c>
    </row>
    <row r="111" spans="1:6" s="13" customFormat="1" x14ac:dyDescent="0.25">
      <c r="A111" s="362"/>
      <c r="B111" s="363"/>
      <c r="C111" s="364" t="s">
        <v>114</v>
      </c>
      <c r="D111" s="365"/>
      <c r="E111" s="34"/>
      <c r="F111" s="169" t="s">
        <v>442</v>
      </c>
    </row>
    <row r="112" spans="1:6" s="13" customFormat="1" ht="30.75" customHeight="1" thickBot="1" x14ac:dyDescent="0.3">
      <c r="A112" s="355"/>
      <c r="B112" s="357"/>
      <c r="C112" s="352" t="s">
        <v>115</v>
      </c>
      <c r="D112" s="353"/>
      <c r="E112" s="34"/>
      <c r="F112" s="174" t="s">
        <v>443</v>
      </c>
    </row>
    <row r="113" spans="1:6" s="13" customFormat="1" ht="12.75" customHeight="1" x14ac:dyDescent="0.25">
      <c r="A113" s="354" t="s">
        <v>61</v>
      </c>
      <c r="B113" s="356" t="s">
        <v>206</v>
      </c>
      <c r="C113" s="358" t="s">
        <v>205</v>
      </c>
      <c r="D113" s="359"/>
      <c r="E113" s="34"/>
      <c r="F113" s="183"/>
    </row>
    <row r="114" spans="1:6" s="13" customFormat="1" x14ac:dyDescent="0.25">
      <c r="A114" s="362"/>
      <c r="B114" s="363"/>
      <c r="C114" s="364" t="s">
        <v>204</v>
      </c>
      <c r="D114" s="365"/>
      <c r="E114" s="34"/>
      <c r="F114" s="185"/>
    </row>
    <row r="115" spans="1:6" s="13" customFormat="1" x14ac:dyDescent="0.25">
      <c r="A115" s="362"/>
      <c r="B115" s="363"/>
      <c r="C115" s="364" t="s">
        <v>203</v>
      </c>
      <c r="D115" s="365"/>
      <c r="E115" s="34"/>
      <c r="F115" s="185"/>
    </row>
    <row r="116" spans="1:6" s="13" customFormat="1" x14ac:dyDescent="0.25">
      <c r="A116" s="362"/>
      <c r="B116" s="363"/>
      <c r="C116" s="364" t="s">
        <v>202</v>
      </c>
      <c r="D116" s="365"/>
      <c r="E116" s="34"/>
      <c r="F116" s="169"/>
    </row>
    <row r="117" spans="1:6" s="13" customFormat="1" x14ac:dyDescent="0.25">
      <c r="A117" s="362"/>
      <c r="B117" s="363"/>
      <c r="C117" s="364" t="s">
        <v>112</v>
      </c>
      <c r="D117" s="365"/>
      <c r="E117" s="34"/>
      <c r="F117" s="169"/>
    </row>
    <row r="118" spans="1:6" s="13" customFormat="1" x14ac:dyDescent="0.25">
      <c r="A118" s="362"/>
      <c r="B118" s="363"/>
      <c r="C118" s="364" t="s">
        <v>113</v>
      </c>
      <c r="D118" s="365"/>
      <c r="E118" s="34"/>
      <c r="F118" s="185"/>
    </row>
    <row r="119" spans="1:6" s="13" customFormat="1" x14ac:dyDescent="0.25">
      <c r="A119" s="362"/>
      <c r="B119" s="363"/>
      <c r="C119" s="364" t="s">
        <v>114</v>
      </c>
      <c r="D119" s="365"/>
      <c r="E119" s="34"/>
      <c r="F119" s="185"/>
    </row>
    <row r="120" spans="1:6" s="13" customFormat="1" ht="13.5" thickBot="1" x14ac:dyDescent="0.3">
      <c r="A120" s="355"/>
      <c r="B120" s="357"/>
      <c r="C120" s="352" t="s">
        <v>115</v>
      </c>
      <c r="D120" s="353"/>
      <c r="E120" s="34"/>
      <c r="F120" s="174"/>
    </row>
    <row r="121" spans="1:6" s="13" customFormat="1" ht="146.44999999999999" customHeight="1" thickBot="1" x14ac:dyDescent="0.3">
      <c r="A121" s="54" t="s">
        <v>86</v>
      </c>
      <c r="B121" s="18" t="s">
        <v>143</v>
      </c>
      <c r="C121" s="380" t="s">
        <v>104</v>
      </c>
      <c r="D121" s="381"/>
      <c r="E121" s="34"/>
      <c r="F121" s="183" t="s">
        <v>444</v>
      </c>
    </row>
    <row r="122" spans="1:6" ht="168.6" customHeight="1" thickBot="1" x14ac:dyDescent="0.25">
      <c r="A122" s="50" t="s">
        <v>85</v>
      </c>
      <c r="B122" s="14" t="s">
        <v>170</v>
      </c>
      <c r="C122" s="380" t="s">
        <v>104</v>
      </c>
      <c r="D122" s="381"/>
      <c r="E122" s="34"/>
      <c r="F122" s="184" t="s">
        <v>498</v>
      </c>
    </row>
    <row r="123" spans="1:6" x14ac:dyDescent="0.2">
      <c r="A123" s="354" t="s">
        <v>13</v>
      </c>
      <c r="B123" s="356" t="s">
        <v>98</v>
      </c>
      <c r="C123" s="358" t="s">
        <v>30</v>
      </c>
      <c r="D123" s="359"/>
      <c r="E123" s="34"/>
      <c r="F123" s="183" t="s">
        <v>446</v>
      </c>
    </row>
    <row r="124" spans="1:6" ht="29.45" customHeight="1" thickBot="1" x14ac:dyDescent="0.25">
      <c r="A124" s="355"/>
      <c r="B124" s="357"/>
      <c r="C124" s="352" t="s">
        <v>109</v>
      </c>
      <c r="D124" s="353"/>
      <c r="E124" s="34"/>
      <c r="F124" s="174">
        <v>1000</v>
      </c>
    </row>
    <row r="125" spans="1:6" ht="65.45" customHeight="1" thickBot="1" x14ac:dyDescent="0.25">
      <c r="A125" s="50" t="s">
        <v>37</v>
      </c>
      <c r="B125" s="30" t="s">
        <v>135</v>
      </c>
      <c r="C125" s="368"/>
      <c r="D125" s="369"/>
      <c r="E125" s="35"/>
      <c r="F125" s="184" t="s">
        <v>447</v>
      </c>
    </row>
    <row r="126" spans="1:6" ht="41.1" customHeight="1" thickBot="1" x14ac:dyDescent="0.25">
      <c r="A126" s="50" t="s">
        <v>38</v>
      </c>
      <c r="B126" s="30" t="s">
        <v>87</v>
      </c>
      <c r="C126" s="368"/>
      <c r="D126" s="369"/>
      <c r="E126" s="35"/>
      <c r="F126" s="184"/>
    </row>
    <row r="127" spans="1:6" ht="17.100000000000001" customHeight="1" thickBot="1" x14ac:dyDescent="0.25">
      <c r="A127" s="50" t="s">
        <v>201</v>
      </c>
      <c r="B127" s="30" t="s">
        <v>200</v>
      </c>
      <c r="C127" s="380"/>
      <c r="D127" s="381"/>
      <c r="E127" s="34"/>
      <c r="F127" s="184"/>
    </row>
    <row r="128" spans="1:6" ht="29.45" customHeight="1" thickBot="1" x14ac:dyDescent="0.25">
      <c r="A128" s="50" t="s">
        <v>39</v>
      </c>
      <c r="B128" s="30" t="s">
        <v>106</v>
      </c>
      <c r="C128" s="380" t="s">
        <v>105</v>
      </c>
      <c r="D128" s="381"/>
      <c r="E128" s="34"/>
      <c r="F128" s="184" t="s">
        <v>499</v>
      </c>
    </row>
    <row r="129" spans="1:6" x14ac:dyDescent="0.2">
      <c r="A129" s="354" t="s">
        <v>88</v>
      </c>
      <c r="B129" s="356" t="s">
        <v>148</v>
      </c>
      <c r="C129" s="358" t="s">
        <v>100</v>
      </c>
      <c r="D129" s="359"/>
      <c r="E129" s="34"/>
      <c r="F129" s="183" t="s">
        <v>448</v>
      </c>
    </row>
    <row r="130" spans="1:6" ht="108" customHeight="1" thickBot="1" x14ac:dyDescent="0.25">
      <c r="A130" s="355"/>
      <c r="B130" s="357"/>
      <c r="C130" s="352" t="s">
        <v>110</v>
      </c>
      <c r="D130" s="353"/>
      <c r="E130" s="34"/>
      <c r="F130" s="201" t="s">
        <v>449</v>
      </c>
    </row>
    <row r="131" spans="1:6" ht="51.75" thickBot="1" x14ac:dyDescent="0.25">
      <c r="A131" s="50" t="s">
        <v>40</v>
      </c>
      <c r="B131" s="30" t="s">
        <v>137</v>
      </c>
      <c r="C131" s="380" t="s">
        <v>100</v>
      </c>
      <c r="D131" s="381"/>
      <c r="E131" s="34"/>
      <c r="F131" s="174" t="s">
        <v>457</v>
      </c>
    </row>
    <row r="132" spans="1:6" ht="56.1" customHeight="1" thickBot="1" x14ac:dyDescent="0.25">
      <c r="A132" s="50" t="s">
        <v>14</v>
      </c>
      <c r="B132" s="30" t="s">
        <v>138</v>
      </c>
      <c r="C132" s="380" t="s">
        <v>139</v>
      </c>
      <c r="D132" s="381"/>
      <c r="E132" s="34"/>
      <c r="F132" s="184">
        <v>2</v>
      </c>
    </row>
    <row r="133" spans="1:6" ht="66" customHeight="1" thickBot="1" x14ac:dyDescent="0.25">
      <c r="A133" s="50" t="s">
        <v>91</v>
      </c>
      <c r="B133" s="30" t="s">
        <v>144</v>
      </c>
      <c r="C133" s="380" t="s">
        <v>100</v>
      </c>
      <c r="D133" s="381"/>
      <c r="E133" s="34"/>
      <c r="F133" s="184" t="s">
        <v>359</v>
      </c>
    </row>
    <row r="134" spans="1:6" ht="70.5" customHeight="1" thickBot="1" x14ac:dyDescent="0.25">
      <c r="A134" s="50" t="s">
        <v>92</v>
      </c>
      <c r="B134" s="30" t="s">
        <v>145</v>
      </c>
      <c r="C134" s="368"/>
      <c r="D134" s="369"/>
      <c r="E134" s="35"/>
      <c r="F134" s="184"/>
    </row>
  </sheetData>
  <sheetProtection algorithmName="SHA-512" hashValue="z3JL7HAcyWMIfekJZjTMkTrfT7SY/MsFZoE4zg1OuozNBzeqAlq38cVUpoz52pban/54k7w8djwNBdsgjARf7g==" saltValue="+OundB/pmW6LdFAnNpV2XQ=="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70" priority="38">
      <formula>#REF!="NO"</formula>
    </cfRule>
  </conditionalFormatting>
  <conditionalFormatting sqref="C40:D42">
    <cfRule type="expression" dxfId="69" priority="8">
      <formula>$F$2="NO"</formula>
    </cfRule>
  </conditionalFormatting>
  <conditionalFormatting sqref="C26:E39">
    <cfRule type="expression" dxfId="68" priority="39">
      <formula>#REF!="NO"</formula>
    </cfRule>
  </conditionalFormatting>
  <conditionalFormatting sqref="C43:E79">
    <cfRule type="expression" dxfId="67" priority="7">
      <formula>#REF!="NO"</formula>
    </cfRule>
  </conditionalFormatting>
  <conditionalFormatting sqref="C105:F134">
    <cfRule type="expression" dxfId="66" priority="12">
      <formula>#REF!="NO"</formula>
    </cfRule>
  </conditionalFormatting>
  <conditionalFormatting sqref="E40:E42">
    <cfRule type="expression" dxfId="65" priority="11">
      <formula>#REF!="NO"</formula>
    </cfRule>
  </conditionalFormatting>
  <conditionalFormatting sqref="E83:F101">
    <cfRule type="expression" dxfId="64" priority="1">
      <formula>#REF!="NO"</formula>
    </cfRule>
  </conditionalFormatting>
  <conditionalFormatting sqref="F8:F17">
    <cfRule type="expression" dxfId="63" priority="35">
      <formula>#REF!="NO"</formula>
    </cfRule>
  </conditionalFormatting>
  <conditionalFormatting sqref="F21:F22">
    <cfRule type="expression" dxfId="62" priority="36">
      <formula>#REF!="NO"</formula>
    </cfRule>
  </conditionalFormatting>
  <conditionalFormatting sqref="F26:G79">
    <cfRule type="expression" dxfId="61" priority="5">
      <formula>#REF!="NO"</formula>
    </cfRule>
  </conditionalFormatting>
  <dataValidations count="3">
    <dataValidation type="decimal" operator="greaterThanOrEqual" allowBlank="1" showInputMessage="1" showErrorMessage="1" error="The Pickup Allowance cannot be a negative number." sqref="F16" xr:uid="{00000000-0002-0000-0A00-000002000000}">
      <formula1>0</formula1>
    </dataValidation>
    <dataValidation type="decimal" allowBlank="1" showInputMessage="1" showErrorMessage="1" error="Invalid Entry - Bidder must enter a value that is greater than $0" sqref="F21" xr:uid="{00000000-0002-0000-0A00-000001000000}">
      <formula1>0</formula1>
      <formula2>9E+21</formula2>
    </dataValidation>
    <dataValidation type="decimal" allowBlank="1" showInputMessage="1" showErrorMessage="1" error="The Additional Options NYS Discount entered must be greater than 0%, or less than or equal to 100%." sqref="F22" xr:uid="{00000000-0002-0000-0A00-000000000000}">
      <formula1>0.01</formula1>
      <formula2>100</formula2>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4ABDA-F98E-4EAD-B218-EEDA56733A0D}">
  <sheetPr>
    <tabColor theme="8" tint="0.59999389629810485"/>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ht="18" customHeight="1" x14ac:dyDescent="0.2">
      <c r="A1" s="165" t="str">
        <f>'A (Item 2-G)'!$A$1</f>
        <v>GROUP 40524-23254, SCHOOL BUSES (Statewide)                                                             Attachment 1 - Specifications and Pricing (Revised October 15, 2026)</v>
      </c>
      <c r="F1" s="210"/>
    </row>
    <row r="2" spans="1:7" s="25" customFormat="1" ht="18" customHeight="1" thickBot="1" x14ac:dyDescent="0.3">
      <c r="A2" s="316" t="str">
        <f>'Attachment 1 - Summary'!B2</f>
        <v>PC69864 New York Bus Sales, LLC</v>
      </c>
      <c r="B2" s="26"/>
      <c r="C2" s="26"/>
      <c r="D2" s="26"/>
      <c r="E2" s="26"/>
      <c r="F2" s="314"/>
      <c r="G2" s="26"/>
    </row>
    <row r="3" spans="1:7" ht="24" thickBot="1" x14ac:dyDescent="0.25">
      <c r="A3" s="453" t="s">
        <v>483</v>
      </c>
      <c r="B3" s="454"/>
      <c r="C3" s="454"/>
      <c r="D3" s="455"/>
      <c r="E3" s="9"/>
      <c r="F3" s="312"/>
      <c r="G3" s="9"/>
    </row>
    <row r="4" spans="1:7" ht="51" customHeight="1" thickBot="1" x14ac:dyDescent="0.25">
      <c r="A4" s="343" t="s">
        <v>482</v>
      </c>
      <c r="B4" s="344"/>
      <c r="C4" s="344"/>
      <c r="D4" s="345"/>
      <c r="E4" s="9"/>
      <c r="F4" s="312"/>
      <c r="G4" s="9"/>
    </row>
    <row r="5" spans="1:7" s="4" customFormat="1" ht="11.25" customHeight="1" thickBot="1" x14ac:dyDescent="0.3">
      <c r="A5" s="57"/>
      <c r="B5" s="57"/>
      <c r="C5" s="57"/>
      <c r="D5" s="57"/>
      <c r="E5" s="57"/>
      <c r="F5" s="313"/>
    </row>
    <row r="6" spans="1:7" s="8" customFormat="1" ht="16.5" customHeight="1" thickBot="1" x14ac:dyDescent="0.25">
      <c r="A6" s="346" t="s">
        <v>151</v>
      </c>
      <c r="B6" s="347"/>
      <c r="C6" s="347"/>
      <c r="D6" s="348"/>
      <c r="E6" s="36"/>
      <c r="F6" s="181" t="s">
        <v>420</v>
      </c>
      <c r="G6" s="36"/>
    </row>
    <row r="7" spans="1:7" s="4" customFormat="1" ht="15" customHeight="1" thickBot="1" x14ac:dyDescent="0.3">
      <c r="A7" s="41" t="s">
        <v>6</v>
      </c>
      <c r="B7" s="27" t="s">
        <v>165</v>
      </c>
      <c r="C7" s="32"/>
      <c r="D7" s="40"/>
      <c r="E7" s="37"/>
      <c r="F7" s="188" t="s">
        <v>19</v>
      </c>
      <c r="G7" s="37"/>
    </row>
    <row r="8" spans="1:7" ht="65.25" thickTop="1" thickBot="1" x14ac:dyDescent="0.25">
      <c r="A8" s="42" t="s">
        <v>9</v>
      </c>
      <c r="B8" s="337" t="s">
        <v>152</v>
      </c>
      <c r="C8" s="338"/>
      <c r="D8" s="339"/>
      <c r="E8" s="13"/>
      <c r="F8" s="167" t="s">
        <v>419</v>
      </c>
      <c r="G8" s="13"/>
    </row>
    <row r="9" spans="1:7" s="8" customFormat="1" ht="44.25" customHeight="1" thickTop="1" thickBot="1" x14ac:dyDescent="0.25">
      <c r="A9" s="42" t="s">
        <v>136</v>
      </c>
      <c r="B9" s="337" t="s">
        <v>191</v>
      </c>
      <c r="C9" s="338"/>
      <c r="D9" s="339"/>
      <c r="E9" s="13"/>
      <c r="F9" s="167" t="s">
        <v>503</v>
      </c>
      <c r="G9" s="13"/>
    </row>
    <row r="10" spans="1:7" ht="12.75" customHeight="1" thickTop="1" x14ac:dyDescent="0.2">
      <c r="A10" s="43" t="s">
        <v>0</v>
      </c>
      <c r="B10" s="328" t="s">
        <v>154</v>
      </c>
      <c r="C10" s="329"/>
      <c r="D10" s="330"/>
      <c r="E10" s="13"/>
      <c r="F10" s="169" t="s">
        <v>420</v>
      </c>
      <c r="G10" s="13"/>
    </row>
    <row r="11" spans="1:7" x14ac:dyDescent="0.2">
      <c r="A11" s="43" t="s">
        <v>1</v>
      </c>
      <c r="B11" s="328" t="s">
        <v>153</v>
      </c>
      <c r="C11" s="329"/>
      <c r="D11" s="330"/>
      <c r="E11" s="13"/>
      <c r="F11" s="169" t="s">
        <v>476</v>
      </c>
      <c r="G11" s="13"/>
    </row>
    <row r="12" spans="1:7" ht="12.75" customHeight="1" thickBot="1" x14ac:dyDescent="0.25">
      <c r="A12" s="44" t="s">
        <v>2</v>
      </c>
      <c r="B12" s="331" t="s">
        <v>155</v>
      </c>
      <c r="C12" s="332"/>
      <c r="D12" s="333"/>
      <c r="E12" s="13"/>
      <c r="F12" s="170">
        <v>3800</v>
      </c>
      <c r="G12" s="13"/>
    </row>
    <row r="13" spans="1:7" ht="13.5" thickTop="1" x14ac:dyDescent="0.2">
      <c r="A13" s="43" t="s">
        <v>3</v>
      </c>
      <c r="B13" s="328" t="s">
        <v>157</v>
      </c>
      <c r="C13" s="329"/>
      <c r="D13" s="330"/>
      <c r="E13" s="13"/>
      <c r="F13" s="169" t="s">
        <v>420</v>
      </c>
      <c r="G13" s="13"/>
    </row>
    <row r="14" spans="1:7" x14ac:dyDescent="0.2">
      <c r="A14" s="43" t="s">
        <v>4</v>
      </c>
      <c r="B14" s="328" t="s">
        <v>156</v>
      </c>
      <c r="C14" s="329"/>
      <c r="D14" s="330"/>
      <c r="E14" s="13"/>
      <c r="F14" s="169" t="s">
        <v>475</v>
      </c>
      <c r="G14" s="13"/>
    </row>
    <row r="15" spans="1:7" ht="15.75" customHeight="1" thickBot="1" x14ac:dyDescent="0.25">
      <c r="A15" s="45" t="s">
        <v>5</v>
      </c>
      <c r="B15" s="331" t="s">
        <v>158</v>
      </c>
      <c r="C15" s="332"/>
      <c r="D15" s="333"/>
      <c r="E15" s="13"/>
      <c r="F15" s="172">
        <v>3800</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16.5" customHeight="1" thickBot="1" x14ac:dyDescent="0.25">
      <c r="A19" s="346" t="s">
        <v>150</v>
      </c>
      <c r="B19" s="347"/>
      <c r="C19" s="347"/>
      <c r="D19" s="348"/>
      <c r="E19" s="36"/>
      <c r="F19" s="181" t="s">
        <v>420</v>
      </c>
      <c r="G19" s="36"/>
    </row>
    <row r="20" spans="1:7" s="4" customFormat="1" ht="15" customHeight="1" thickBot="1" x14ac:dyDescent="0.3">
      <c r="A20" s="55" t="s">
        <v>6</v>
      </c>
      <c r="B20" s="31" t="s">
        <v>165</v>
      </c>
      <c r="C20" s="33"/>
      <c r="D20" s="48"/>
      <c r="E20" s="37"/>
      <c r="F20" s="188" t="s">
        <v>19</v>
      </c>
      <c r="G20" s="37"/>
    </row>
    <row r="21" spans="1:7" ht="56.25" customHeight="1" x14ac:dyDescent="0.2">
      <c r="A21" s="46" t="s">
        <v>42</v>
      </c>
      <c r="B21" s="349" t="s">
        <v>161</v>
      </c>
      <c r="C21" s="350"/>
      <c r="D21" s="351"/>
      <c r="E21" s="13"/>
      <c r="F21" s="197">
        <f>153900*('PPI Adj'!D6)</f>
        <v>179601.30000000002</v>
      </c>
      <c r="G21" s="13"/>
    </row>
    <row r="22" spans="1:7" ht="33" customHeight="1" thickBot="1" x14ac:dyDescent="0.25">
      <c r="A22" s="47" t="s">
        <v>41</v>
      </c>
      <c r="B22" s="370" t="s">
        <v>163</v>
      </c>
      <c r="C22" s="371"/>
      <c r="D22" s="372"/>
      <c r="E22" s="1"/>
      <c r="F22" s="179">
        <v>22</v>
      </c>
      <c r="G22" s="1"/>
    </row>
    <row r="23" spans="1:7" ht="13.5" thickBot="1" x14ac:dyDescent="0.25">
      <c r="A23" s="58"/>
      <c r="B23" s="1"/>
      <c r="C23" s="1"/>
      <c r="D23" s="1"/>
      <c r="E23" s="1"/>
      <c r="F23" s="180"/>
      <c r="G23" s="1"/>
    </row>
    <row r="24" spans="1:7" s="8" customFormat="1" ht="15.75" customHeight="1" thickBot="1" x14ac:dyDescent="0.25">
      <c r="A24" s="373" t="s">
        <v>164</v>
      </c>
      <c r="B24" s="374"/>
      <c r="C24" s="374"/>
      <c r="D24" s="375"/>
      <c r="E24" s="38"/>
      <c r="F24" s="181" t="s">
        <v>420</v>
      </c>
      <c r="G24" s="38"/>
    </row>
    <row r="25" spans="1:7" s="3" customFormat="1" ht="15" customHeight="1" thickBot="1" x14ac:dyDescent="0.3">
      <c r="A25" s="55" t="s">
        <v>6</v>
      </c>
      <c r="B25" s="56" t="s">
        <v>7</v>
      </c>
      <c r="C25" s="376" t="s">
        <v>165</v>
      </c>
      <c r="D25" s="377"/>
      <c r="E25" s="39"/>
      <c r="F25" s="188" t="s">
        <v>19</v>
      </c>
      <c r="G25" s="39"/>
    </row>
    <row r="26" spans="1:7" s="13" customFormat="1" ht="64.5" customHeight="1" thickBot="1" x14ac:dyDescent="0.3">
      <c r="A26" s="49" t="s">
        <v>8</v>
      </c>
      <c r="B26" s="30" t="s">
        <v>474</v>
      </c>
      <c r="C26" s="352" t="s">
        <v>118</v>
      </c>
      <c r="D26" s="353"/>
      <c r="E26" s="34"/>
      <c r="F26" s="174">
        <v>31350</v>
      </c>
      <c r="G26" s="34"/>
    </row>
    <row r="27" spans="1:7" s="13" customFormat="1" x14ac:dyDescent="0.25">
      <c r="A27" s="354" t="s">
        <v>21</v>
      </c>
      <c r="B27" s="356" t="s">
        <v>481</v>
      </c>
      <c r="C27" s="358" t="s">
        <v>67</v>
      </c>
      <c r="D27" s="359"/>
      <c r="E27" s="34"/>
      <c r="F27" s="183">
        <v>13</v>
      </c>
      <c r="G27" s="34"/>
    </row>
    <row r="28" spans="1:7" s="13" customFormat="1" ht="13.5" thickBot="1" x14ac:dyDescent="0.3">
      <c r="A28" s="355"/>
      <c r="B28" s="357"/>
      <c r="C28" s="352" t="s">
        <v>68</v>
      </c>
      <c r="D28" s="353"/>
      <c r="E28" s="34"/>
      <c r="F28" s="174">
        <v>77</v>
      </c>
      <c r="G28" s="34"/>
    </row>
    <row r="29" spans="1:7" s="13" customFormat="1" ht="13.5" thickBot="1" x14ac:dyDescent="0.3">
      <c r="A29" s="50" t="s">
        <v>123</v>
      </c>
      <c r="B29" s="30" t="s">
        <v>108</v>
      </c>
      <c r="C29" s="368"/>
      <c r="D29" s="369"/>
      <c r="E29" s="35"/>
      <c r="F29" s="184"/>
      <c r="G29" s="35"/>
    </row>
    <row r="30" spans="1:7" s="13" customFormat="1" x14ac:dyDescent="0.25">
      <c r="A30" s="354" t="s">
        <v>59</v>
      </c>
      <c r="B30" s="356"/>
      <c r="C30" s="358" t="s">
        <v>58</v>
      </c>
      <c r="D30" s="359"/>
      <c r="E30" s="34"/>
      <c r="F30" s="183">
        <v>211</v>
      </c>
      <c r="G30" s="34"/>
    </row>
    <row r="31" spans="1:7" s="13" customFormat="1" x14ac:dyDescent="0.25">
      <c r="A31" s="362"/>
      <c r="B31" s="363"/>
      <c r="C31" s="364" t="s">
        <v>57</v>
      </c>
      <c r="D31" s="365"/>
      <c r="E31" s="34"/>
      <c r="F31" s="169">
        <v>457.9</v>
      </c>
      <c r="G31" s="34"/>
    </row>
    <row r="32" spans="1:7" s="13" customFormat="1" x14ac:dyDescent="0.25">
      <c r="A32" s="362"/>
      <c r="B32" s="363"/>
      <c r="C32" s="364" t="s">
        <v>69</v>
      </c>
      <c r="D32" s="365"/>
      <c r="E32" s="34"/>
      <c r="F32" s="169">
        <v>90.75</v>
      </c>
      <c r="G32" s="34"/>
    </row>
    <row r="33" spans="1:7" s="13" customFormat="1" x14ac:dyDescent="0.25">
      <c r="A33" s="362"/>
      <c r="B33" s="363"/>
      <c r="C33" s="366" t="s">
        <v>70</v>
      </c>
      <c r="D33" s="367"/>
      <c r="E33" s="34"/>
      <c r="F33" s="169">
        <v>77</v>
      </c>
      <c r="G33" s="34"/>
    </row>
    <row r="34" spans="1:7" s="13" customFormat="1" ht="13.5" thickBot="1" x14ac:dyDescent="0.3">
      <c r="A34" s="355"/>
      <c r="B34" s="357"/>
      <c r="C34" s="352" t="s">
        <v>111</v>
      </c>
      <c r="D34" s="353"/>
      <c r="E34" s="34"/>
      <c r="F34" s="174">
        <v>305.5</v>
      </c>
      <c r="G34" s="34"/>
    </row>
    <row r="35" spans="1:7" s="13" customFormat="1" x14ac:dyDescent="0.25">
      <c r="A35" s="354" t="s">
        <v>11</v>
      </c>
      <c r="B35" s="356"/>
      <c r="C35" s="358" t="s">
        <v>24</v>
      </c>
      <c r="D35" s="359"/>
      <c r="E35" s="34"/>
      <c r="F35" s="183">
        <v>12350</v>
      </c>
      <c r="G35" s="34"/>
    </row>
    <row r="36" spans="1:7" s="13" customFormat="1" ht="13.5" thickBot="1" x14ac:dyDescent="0.3">
      <c r="A36" s="355"/>
      <c r="B36" s="357"/>
      <c r="C36" s="352" t="s">
        <v>22</v>
      </c>
      <c r="D36" s="353"/>
      <c r="E36" s="34"/>
      <c r="F36" s="174">
        <v>13200</v>
      </c>
      <c r="G36" s="34"/>
    </row>
    <row r="37" spans="1:7" s="13" customFormat="1" x14ac:dyDescent="0.25">
      <c r="A37" s="354" t="s">
        <v>16</v>
      </c>
      <c r="B37" s="356"/>
      <c r="C37" s="358" t="s">
        <v>24</v>
      </c>
      <c r="D37" s="359"/>
      <c r="E37" s="34"/>
      <c r="F37" s="183">
        <v>19000</v>
      </c>
      <c r="G37" s="34"/>
    </row>
    <row r="38" spans="1:7" s="13" customFormat="1" ht="13.5" thickBot="1" x14ac:dyDescent="0.3">
      <c r="A38" s="355"/>
      <c r="B38" s="357"/>
      <c r="C38" s="360" t="s">
        <v>23</v>
      </c>
      <c r="D38" s="361"/>
      <c r="E38" s="34"/>
      <c r="F38" s="174">
        <v>21000</v>
      </c>
      <c r="G38" s="34"/>
    </row>
    <row r="39" spans="1:7" s="13" customFormat="1" ht="17.100000000000001" customHeight="1" thickBot="1" x14ac:dyDescent="0.3">
      <c r="A39" s="50" t="s">
        <v>52</v>
      </c>
      <c r="B39" s="30" t="s">
        <v>53</v>
      </c>
      <c r="C39" s="368"/>
      <c r="D39" s="369"/>
      <c r="E39" s="35"/>
      <c r="F39" s="184"/>
      <c r="G39" s="35"/>
    </row>
    <row r="40" spans="1:7" s="13" customFormat="1" x14ac:dyDescent="0.25">
      <c r="A40" s="354" t="s">
        <v>219</v>
      </c>
      <c r="B40" s="356" t="s">
        <v>222</v>
      </c>
      <c r="C40" s="358" t="s">
        <v>221</v>
      </c>
      <c r="D40" s="359"/>
      <c r="E40" s="34"/>
      <c r="F40" s="183" t="s">
        <v>257</v>
      </c>
      <c r="G40" s="34"/>
    </row>
    <row r="41" spans="1:7" s="13" customFormat="1" ht="14.45" customHeight="1" x14ac:dyDescent="0.25">
      <c r="A41" s="362"/>
      <c r="B41" s="363"/>
      <c r="C41" s="364" t="s">
        <v>220</v>
      </c>
      <c r="D41" s="365"/>
      <c r="E41" s="34"/>
      <c r="F41" s="169" t="s">
        <v>425</v>
      </c>
      <c r="G41" s="34"/>
    </row>
    <row r="42" spans="1:7" s="13" customFormat="1" ht="70.5" customHeight="1" thickBot="1" x14ac:dyDescent="0.3">
      <c r="A42" s="355"/>
      <c r="B42" s="363"/>
      <c r="C42" s="360"/>
      <c r="D42" s="361"/>
      <c r="E42" s="34"/>
      <c r="F42" s="171"/>
      <c r="G42" s="34"/>
    </row>
    <row r="43" spans="1:7" s="13" customFormat="1" ht="28.5" customHeight="1" thickBot="1" x14ac:dyDescent="0.3">
      <c r="A43" s="50" t="s">
        <v>219</v>
      </c>
      <c r="B43" s="30" t="s">
        <v>218</v>
      </c>
      <c r="C43" s="368"/>
      <c r="D43" s="369"/>
      <c r="E43" s="35"/>
      <c r="F43" s="184"/>
      <c r="G43" s="35"/>
    </row>
    <row r="44" spans="1:7" s="13" customFormat="1" ht="13.5" thickBot="1" x14ac:dyDescent="0.3">
      <c r="A44" s="378" t="s">
        <v>12</v>
      </c>
      <c r="B44" s="379" t="s">
        <v>142</v>
      </c>
      <c r="C44" s="358" t="s">
        <v>174</v>
      </c>
      <c r="D44" s="359"/>
      <c r="E44" s="34"/>
      <c r="F44" s="183" t="s">
        <v>278</v>
      </c>
      <c r="G44" s="34"/>
    </row>
    <row r="45" spans="1:7" s="13" customFormat="1" ht="13.5" thickBot="1" x14ac:dyDescent="0.3">
      <c r="A45" s="378"/>
      <c r="B45" s="379"/>
      <c r="C45" s="364" t="s">
        <v>175</v>
      </c>
      <c r="D45" s="365"/>
      <c r="E45" s="34"/>
      <c r="F45" s="169">
        <v>6610</v>
      </c>
      <c r="G45" s="34"/>
    </row>
    <row r="46" spans="1:7" s="13" customFormat="1" ht="13.5" thickBot="1" x14ac:dyDescent="0.3">
      <c r="A46" s="378"/>
      <c r="B46" s="379"/>
      <c r="C46" s="364" t="s">
        <v>176</v>
      </c>
      <c r="D46" s="365"/>
      <c r="E46" s="34"/>
      <c r="F46" s="185" t="s">
        <v>278</v>
      </c>
      <c r="G46" s="34"/>
    </row>
    <row r="47" spans="1:7" s="13" customFormat="1" ht="13.5" thickBot="1" x14ac:dyDescent="0.3">
      <c r="A47" s="378"/>
      <c r="B47" s="379"/>
      <c r="C47" s="364" t="s">
        <v>177</v>
      </c>
      <c r="D47" s="365"/>
      <c r="E47" s="34"/>
      <c r="F47" s="169">
        <v>6005</v>
      </c>
      <c r="G47" s="34"/>
    </row>
    <row r="48" spans="1:7" s="13" customFormat="1" ht="13.5" thickBot="1" x14ac:dyDescent="0.3">
      <c r="A48" s="378"/>
      <c r="B48" s="379"/>
      <c r="C48" s="364" t="s">
        <v>112</v>
      </c>
      <c r="D48" s="365"/>
      <c r="E48" s="34"/>
      <c r="F48" s="169" t="s">
        <v>426</v>
      </c>
      <c r="G48" s="34"/>
    </row>
    <row r="49" spans="1:7" s="13" customFormat="1" ht="13.5" thickBot="1" x14ac:dyDescent="0.3">
      <c r="A49" s="378"/>
      <c r="B49" s="379"/>
      <c r="C49" s="364" t="s">
        <v>113</v>
      </c>
      <c r="D49" s="365"/>
      <c r="E49" s="34"/>
      <c r="F49" s="169" t="s">
        <v>493</v>
      </c>
      <c r="G49" s="34"/>
    </row>
    <row r="50" spans="1:7" s="13" customFormat="1" ht="13.5" thickBot="1" x14ac:dyDescent="0.3">
      <c r="A50" s="378"/>
      <c r="B50" s="379"/>
      <c r="C50" s="366" t="s">
        <v>114</v>
      </c>
      <c r="D50" s="367"/>
      <c r="E50" s="34"/>
      <c r="F50" s="169" t="s">
        <v>426</v>
      </c>
      <c r="G50" s="34"/>
    </row>
    <row r="51" spans="1:7" s="13" customFormat="1" ht="13.5" thickBot="1" x14ac:dyDescent="0.3">
      <c r="A51" s="378"/>
      <c r="B51" s="379"/>
      <c r="C51" s="352" t="s">
        <v>115</v>
      </c>
      <c r="D51" s="353"/>
      <c r="E51" s="34"/>
      <c r="F51" s="174" t="s">
        <v>493</v>
      </c>
      <c r="G51" s="34"/>
    </row>
    <row r="52" spans="1:7" s="13" customFormat="1" x14ac:dyDescent="0.25">
      <c r="A52" s="354" t="s">
        <v>10</v>
      </c>
      <c r="B52" s="356" t="s">
        <v>217</v>
      </c>
      <c r="C52" s="358" t="s">
        <v>116</v>
      </c>
      <c r="D52" s="359"/>
      <c r="E52" s="34"/>
      <c r="F52" s="183">
        <v>5</v>
      </c>
      <c r="G52" s="34"/>
    </row>
    <row r="53" spans="1:7" s="13" customFormat="1" x14ac:dyDescent="0.25">
      <c r="A53" s="362"/>
      <c r="B53" s="363"/>
      <c r="C53" s="364" t="s">
        <v>117</v>
      </c>
      <c r="D53" s="365"/>
      <c r="E53" s="34"/>
      <c r="F53" s="169" t="s">
        <v>494</v>
      </c>
      <c r="G53" s="34"/>
    </row>
    <row r="54" spans="1:7" s="13" customFormat="1" ht="26.25" thickBot="1" x14ac:dyDescent="0.3">
      <c r="A54" s="362"/>
      <c r="B54" s="363"/>
      <c r="C54" s="360" t="s">
        <v>71</v>
      </c>
      <c r="D54" s="361"/>
      <c r="E54" s="34"/>
      <c r="F54" s="171" t="s">
        <v>495</v>
      </c>
      <c r="G54" s="34"/>
    </row>
    <row r="55" spans="1:7" s="13" customFormat="1" ht="78" customHeight="1" thickBot="1" x14ac:dyDescent="0.3">
      <c r="A55" s="51" t="s">
        <v>9</v>
      </c>
      <c r="B55" s="28" t="s">
        <v>256</v>
      </c>
      <c r="C55" s="366"/>
      <c r="D55" s="367"/>
      <c r="E55" s="34"/>
      <c r="F55" s="183"/>
      <c r="G55" s="34"/>
    </row>
    <row r="56" spans="1:7" s="13" customFormat="1" ht="27" customHeight="1" thickBot="1" x14ac:dyDescent="0.3">
      <c r="A56" s="51" t="s">
        <v>255</v>
      </c>
      <c r="B56" s="28" t="s">
        <v>254</v>
      </c>
      <c r="C56" s="368"/>
      <c r="D56" s="369"/>
      <c r="E56" s="35"/>
      <c r="F56" s="186"/>
      <c r="G56" s="35"/>
    </row>
    <row r="57" spans="1:7" s="13" customFormat="1" x14ac:dyDescent="0.25">
      <c r="A57" s="354" t="s">
        <v>25</v>
      </c>
      <c r="B57" s="356" t="s">
        <v>93</v>
      </c>
      <c r="C57" s="358" t="s">
        <v>72</v>
      </c>
      <c r="D57" s="359"/>
      <c r="E57" s="34"/>
      <c r="F57" s="183" t="s">
        <v>430</v>
      </c>
      <c r="G57" s="34"/>
    </row>
    <row r="58" spans="1:7" s="13" customFormat="1" ht="58.5" customHeight="1" thickBot="1" x14ac:dyDescent="0.3">
      <c r="A58" s="355"/>
      <c r="B58" s="357"/>
      <c r="C58" s="352" t="s">
        <v>73</v>
      </c>
      <c r="D58" s="353"/>
      <c r="E58" s="34"/>
      <c r="F58" s="174">
        <v>240</v>
      </c>
      <c r="G58" s="34"/>
    </row>
    <row r="59" spans="1:7" s="13" customFormat="1" x14ac:dyDescent="0.25">
      <c r="A59" s="354" t="s">
        <v>26</v>
      </c>
      <c r="B59" s="356" t="s">
        <v>253</v>
      </c>
      <c r="C59" s="358" t="s">
        <v>74</v>
      </c>
      <c r="D59" s="359"/>
      <c r="E59" s="34"/>
      <c r="F59" s="183" t="s">
        <v>431</v>
      </c>
      <c r="G59" s="34"/>
    </row>
    <row r="60" spans="1:7" s="13" customFormat="1" x14ac:dyDescent="0.25">
      <c r="A60" s="362"/>
      <c r="B60" s="363"/>
      <c r="C60" s="364" t="s">
        <v>75</v>
      </c>
      <c r="D60" s="365"/>
      <c r="E60" s="34"/>
      <c r="F60" s="169">
        <v>3</v>
      </c>
      <c r="G60" s="34"/>
    </row>
    <row r="61" spans="1:7" s="13" customFormat="1" ht="32.25" customHeight="1" thickBot="1" x14ac:dyDescent="0.3">
      <c r="A61" s="355"/>
      <c r="B61" s="357"/>
      <c r="C61" s="352" t="s">
        <v>252</v>
      </c>
      <c r="D61" s="353"/>
      <c r="E61" s="34"/>
      <c r="F61" s="174">
        <v>700</v>
      </c>
      <c r="G61" s="34"/>
    </row>
    <row r="62" spans="1:7" s="13" customFormat="1" ht="15.6" customHeight="1" thickBot="1" x14ac:dyDescent="0.3">
      <c r="A62" s="50" t="s">
        <v>44</v>
      </c>
      <c r="B62" s="30" t="s">
        <v>45</v>
      </c>
      <c r="C62" s="368"/>
      <c r="D62" s="369"/>
      <c r="E62" s="35"/>
      <c r="F62" s="186"/>
      <c r="G62" s="35"/>
    </row>
    <row r="63" spans="1:7" s="13" customFormat="1" ht="28.5" customHeight="1" thickBot="1" x14ac:dyDescent="0.3">
      <c r="A63" s="50" t="s">
        <v>44</v>
      </c>
      <c r="B63" s="30" t="s">
        <v>63</v>
      </c>
      <c r="C63" s="368"/>
      <c r="D63" s="369"/>
      <c r="E63" s="35"/>
      <c r="F63" s="186"/>
      <c r="G63" s="35"/>
    </row>
    <row r="64" spans="1:7" s="13" customFormat="1" ht="30" customHeight="1" thickBot="1" x14ac:dyDescent="0.3">
      <c r="A64" s="50" t="s">
        <v>44</v>
      </c>
      <c r="B64" s="30" t="s">
        <v>64</v>
      </c>
      <c r="C64" s="368"/>
      <c r="D64" s="369"/>
      <c r="E64" s="35"/>
      <c r="F64" s="186"/>
      <c r="G64" s="35"/>
    </row>
    <row r="65" spans="1:7" s="13" customFormat="1" ht="30.95" customHeight="1" thickBot="1" x14ac:dyDescent="0.3">
      <c r="A65" s="50" t="s">
        <v>50</v>
      </c>
      <c r="B65" s="30" t="s">
        <v>216</v>
      </c>
      <c r="C65" s="368"/>
      <c r="D65" s="369"/>
      <c r="E65" s="35"/>
      <c r="F65" s="186"/>
      <c r="G65" s="35"/>
    </row>
    <row r="66" spans="1:7" s="13" customFormat="1" ht="13.5" thickBot="1" x14ac:dyDescent="0.3">
      <c r="A66" s="50" t="s">
        <v>27</v>
      </c>
      <c r="B66" s="30" t="s">
        <v>215</v>
      </c>
      <c r="C66" s="380" t="s">
        <v>77</v>
      </c>
      <c r="D66" s="381"/>
      <c r="E66" s="34"/>
      <c r="F66" s="184" t="s">
        <v>496</v>
      </c>
      <c r="G66" s="34"/>
    </row>
    <row r="67" spans="1:7" s="13" customFormat="1" ht="53.1" customHeight="1" thickBot="1" x14ac:dyDescent="0.3">
      <c r="A67" s="50" t="s">
        <v>214</v>
      </c>
      <c r="B67" s="30" t="s">
        <v>213</v>
      </c>
      <c r="C67" s="380"/>
      <c r="D67" s="381"/>
      <c r="E67" s="34"/>
      <c r="F67" s="184"/>
      <c r="G67" s="34"/>
    </row>
    <row r="68" spans="1:7" s="13" customFormat="1" ht="15" customHeight="1" x14ac:dyDescent="0.25">
      <c r="A68" s="354" t="s">
        <v>28</v>
      </c>
      <c r="B68" s="356" t="s">
        <v>265</v>
      </c>
      <c r="C68" s="425" t="s">
        <v>250</v>
      </c>
      <c r="D68" s="359"/>
      <c r="E68" s="34"/>
      <c r="F68" s="183" t="s">
        <v>455</v>
      </c>
      <c r="G68" s="34"/>
    </row>
    <row r="69" spans="1:7" s="13" customFormat="1" ht="29.25" customHeight="1" thickBot="1" x14ac:dyDescent="0.3">
      <c r="A69" s="355"/>
      <c r="B69" s="357"/>
      <c r="C69" s="426" t="s">
        <v>249</v>
      </c>
      <c r="D69" s="353"/>
      <c r="E69" s="34"/>
      <c r="F69" s="174" t="s">
        <v>434</v>
      </c>
      <c r="G69" s="34"/>
    </row>
    <row r="70" spans="1:7" s="13" customFormat="1" ht="40.5" customHeight="1" thickBot="1" x14ac:dyDescent="0.3">
      <c r="A70" s="50" t="s">
        <v>51</v>
      </c>
      <c r="B70" s="30" t="s">
        <v>212</v>
      </c>
      <c r="C70" s="368"/>
      <c r="D70" s="369"/>
      <c r="E70" s="35"/>
      <c r="F70" s="184"/>
      <c r="G70" s="35"/>
    </row>
    <row r="71" spans="1:7" s="13" customFormat="1" ht="40.5" customHeight="1" thickBot="1" x14ac:dyDescent="0.3">
      <c r="A71" s="50" t="s">
        <v>54</v>
      </c>
      <c r="B71" s="30" t="s">
        <v>80</v>
      </c>
      <c r="C71" s="368"/>
      <c r="D71" s="369"/>
      <c r="E71" s="35"/>
      <c r="F71" s="184"/>
      <c r="G71" s="35"/>
    </row>
    <row r="72" spans="1:7" s="13" customFormat="1" ht="78" customHeight="1" thickBot="1" x14ac:dyDescent="0.3">
      <c r="A72" s="50" t="s">
        <v>29</v>
      </c>
      <c r="B72" s="30" t="s">
        <v>211</v>
      </c>
      <c r="C72" s="368"/>
      <c r="D72" s="369"/>
      <c r="E72" s="35"/>
      <c r="F72" s="184"/>
      <c r="G72" s="35"/>
    </row>
    <row r="73" spans="1:7" s="13" customFormat="1" ht="53.45" customHeight="1" thickBot="1" x14ac:dyDescent="0.3">
      <c r="A73" s="50" t="s">
        <v>31</v>
      </c>
      <c r="B73" s="30" t="s">
        <v>210</v>
      </c>
      <c r="C73" s="380" t="s">
        <v>30</v>
      </c>
      <c r="D73" s="381"/>
      <c r="E73" s="34"/>
      <c r="F73" s="184" t="s">
        <v>435</v>
      </c>
      <c r="G73" s="34"/>
    </row>
    <row r="74" spans="1:7" s="13" customFormat="1" ht="27.95" customHeight="1" thickBot="1" x14ac:dyDescent="0.3">
      <c r="A74" s="50" t="s">
        <v>55</v>
      </c>
      <c r="B74" s="30" t="s">
        <v>95</v>
      </c>
      <c r="C74" s="368"/>
      <c r="D74" s="369"/>
      <c r="E74" s="35"/>
      <c r="F74" s="184"/>
      <c r="G74" s="35"/>
    </row>
    <row r="75" spans="1:7" s="13" customFormat="1" ht="29.45" customHeight="1" thickBot="1" x14ac:dyDescent="0.3">
      <c r="A75" s="50" t="s">
        <v>32</v>
      </c>
      <c r="B75" s="30" t="s">
        <v>96</v>
      </c>
      <c r="C75" s="380" t="s">
        <v>30</v>
      </c>
      <c r="D75" s="381"/>
      <c r="E75" s="34"/>
      <c r="F75" s="184" t="s">
        <v>436</v>
      </c>
      <c r="G75" s="34"/>
    </row>
    <row r="76" spans="1:7" s="13" customFormat="1" ht="39.6" customHeight="1" thickBot="1" x14ac:dyDescent="0.3">
      <c r="A76" s="50" t="s">
        <v>56</v>
      </c>
      <c r="B76" s="30" t="s">
        <v>167</v>
      </c>
      <c r="C76" s="368"/>
      <c r="D76" s="369"/>
      <c r="E76" s="35"/>
      <c r="F76" s="184"/>
      <c r="G76" s="35"/>
    </row>
    <row r="77" spans="1:7" s="13" customFormat="1" ht="27.95" customHeight="1" thickBot="1" x14ac:dyDescent="0.3">
      <c r="A77" s="50" t="s">
        <v>48</v>
      </c>
      <c r="B77" s="30" t="s">
        <v>47</v>
      </c>
      <c r="C77" s="368"/>
      <c r="D77" s="369"/>
      <c r="E77" s="35"/>
      <c r="F77" s="184"/>
      <c r="G77" s="35"/>
    </row>
    <row r="78" spans="1:7" s="13" customFormat="1" ht="27.6" customHeight="1" thickBot="1" x14ac:dyDescent="0.3">
      <c r="A78" s="50" t="s">
        <v>49</v>
      </c>
      <c r="B78" s="30" t="s">
        <v>103</v>
      </c>
      <c r="C78" s="368"/>
      <c r="D78" s="369"/>
      <c r="E78" s="35"/>
      <c r="F78" s="184"/>
      <c r="G78" s="35"/>
    </row>
    <row r="79" spans="1:7" s="13" customFormat="1" ht="26.25" thickBot="1" x14ac:dyDescent="0.3">
      <c r="A79" s="50" t="s">
        <v>46</v>
      </c>
      <c r="B79" s="30" t="s">
        <v>81</v>
      </c>
      <c r="C79" s="368"/>
      <c r="D79" s="369"/>
      <c r="E79" s="35"/>
      <c r="F79" s="184"/>
      <c r="G79" s="35"/>
    </row>
    <row r="80" spans="1:7" ht="13.5" thickBot="1" x14ac:dyDescent="0.25"/>
    <row r="81" spans="1:6" s="17" customFormat="1" ht="18" customHeight="1" thickBot="1" x14ac:dyDescent="0.3">
      <c r="A81" s="373" t="s">
        <v>168</v>
      </c>
      <c r="B81" s="374"/>
      <c r="C81" s="374"/>
      <c r="D81" s="375"/>
      <c r="E81" s="38"/>
      <c r="F81" s="181" t="s">
        <v>420</v>
      </c>
    </row>
    <row r="82" spans="1:6" s="3" customFormat="1" ht="15" customHeight="1" thickBot="1" x14ac:dyDescent="0.3">
      <c r="A82" s="382" t="s">
        <v>169</v>
      </c>
      <c r="B82" s="383"/>
      <c r="C82" s="383"/>
      <c r="D82" s="384"/>
      <c r="E82" s="39"/>
      <c r="F82" s="188" t="s">
        <v>19</v>
      </c>
    </row>
    <row r="83" spans="1:6" s="13" customFormat="1" ht="12.75" customHeight="1" x14ac:dyDescent="0.25">
      <c r="A83" s="385" t="s">
        <v>83</v>
      </c>
      <c r="B83" s="386"/>
      <c r="C83" s="386"/>
      <c r="D83" s="387"/>
      <c r="E83" s="35"/>
      <c r="F83" s="189">
        <f>-1337.32*('PPI Adj'!D6)</f>
        <v>-1560.6524400000001</v>
      </c>
    </row>
    <row r="84" spans="1:6" s="13" customFormat="1" ht="12.75" customHeight="1" x14ac:dyDescent="0.25">
      <c r="A84" s="388" t="s">
        <v>34</v>
      </c>
      <c r="B84" s="389"/>
      <c r="C84" s="389"/>
      <c r="D84" s="390"/>
      <c r="E84" s="34"/>
      <c r="F84" s="190">
        <f>544.44*('PPI Adj'!D6)</f>
        <v>635.36148000000003</v>
      </c>
    </row>
    <row r="85" spans="1:6" s="13" customFormat="1" x14ac:dyDescent="0.25">
      <c r="A85" s="388" t="s">
        <v>35</v>
      </c>
      <c r="B85" s="389"/>
      <c r="C85" s="389"/>
      <c r="D85" s="390"/>
      <c r="E85" s="35"/>
      <c r="F85" s="190">
        <f>753.95*('PPI Adj'!D6)</f>
        <v>879.8596500000001</v>
      </c>
    </row>
    <row r="86" spans="1:6" s="13" customFormat="1" x14ac:dyDescent="0.25">
      <c r="A86" s="388" t="s">
        <v>36</v>
      </c>
      <c r="B86" s="389"/>
      <c r="C86" s="389"/>
      <c r="D86" s="390"/>
      <c r="E86" s="34"/>
      <c r="F86" s="190">
        <f>1340.82*('PPI Adj'!D6)</f>
        <v>1564.73694</v>
      </c>
    </row>
    <row r="87" spans="1:6" s="13" customFormat="1" x14ac:dyDescent="0.25">
      <c r="A87" s="388" t="s">
        <v>60</v>
      </c>
      <c r="B87" s="389"/>
      <c r="C87" s="389"/>
      <c r="D87" s="390"/>
      <c r="E87" s="34"/>
      <c r="F87" s="190">
        <f>655.98*('PPI Adj'!D6)</f>
        <v>765.52866000000006</v>
      </c>
    </row>
    <row r="88" spans="1:6" s="13" customFormat="1" x14ac:dyDescent="0.25">
      <c r="A88" s="388" t="s">
        <v>61</v>
      </c>
      <c r="B88" s="389"/>
      <c r="C88" s="389"/>
      <c r="D88" s="390"/>
      <c r="E88" s="34"/>
      <c r="F88" s="190" t="s">
        <v>183</v>
      </c>
    </row>
    <row r="89" spans="1:6" s="13" customFormat="1" ht="12.75" customHeight="1" x14ac:dyDescent="0.25">
      <c r="A89" s="388" t="s">
        <v>86</v>
      </c>
      <c r="B89" s="389"/>
      <c r="C89" s="389"/>
      <c r="D89" s="390"/>
      <c r="E89" s="34"/>
      <c r="F89" s="190">
        <f>1202.76*('PPI Adj'!D6)</f>
        <v>1403.6209200000001</v>
      </c>
    </row>
    <row r="90" spans="1:6" ht="12.75" customHeight="1" x14ac:dyDescent="0.2">
      <c r="A90" s="388" t="s">
        <v>85</v>
      </c>
      <c r="B90" s="389"/>
      <c r="C90" s="389"/>
      <c r="D90" s="390"/>
      <c r="E90" s="34"/>
      <c r="F90" s="190">
        <f>6086.15*('PPI Adj'!D6)</f>
        <v>7102.5370499999999</v>
      </c>
    </row>
    <row r="91" spans="1:6" x14ac:dyDescent="0.2">
      <c r="A91" s="388" t="s">
        <v>13</v>
      </c>
      <c r="B91" s="389"/>
      <c r="C91" s="389"/>
      <c r="D91" s="390"/>
      <c r="E91" s="34"/>
      <c r="F91" s="190">
        <f>6533.28*('PPI Adj'!D6)</f>
        <v>7624.3377600000003</v>
      </c>
    </row>
    <row r="92" spans="1:6" ht="12.75" customHeight="1" x14ac:dyDescent="0.2">
      <c r="A92" s="388" t="s">
        <v>37</v>
      </c>
      <c r="B92" s="389"/>
      <c r="C92" s="389"/>
      <c r="D92" s="390"/>
      <c r="E92" s="35"/>
      <c r="F92" s="190">
        <f>97.5*('PPI Adj'!D6)</f>
        <v>113.7825</v>
      </c>
    </row>
    <row r="93" spans="1:6" x14ac:dyDescent="0.2">
      <c r="A93" s="388" t="s">
        <v>38</v>
      </c>
      <c r="B93" s="389"/>
      <c r="C93" s="389"/>
      <c r="D93" s="390"/>
      <c r="E93" s="35"/>
      <c r="F93" s="190">
        <f>397.8*('PPI Adj'!D6)</f>
        <v>464.23260000000005</v>
      </c>
    </row>
    <row r="94" spans="1:6" x14ac:dyDescent="0.2">
      <c r="A94" s="388" t="s">
        <v>201</v>
      </c>
      <c r="B94" s="389"/>
      <c r="C94" s="389"/>
      <c r="D94" s="390"/>
      <c r="E94" s="35"/>
      <c r="F94" s="190" t="s">
        <v>183</v>
      </c>
    </row>
    <row r="95" spans="1:6" x14ac:dyDescent="0.2">
      <c r="A95" s="388" t="s">
        <v>39</v>
      </c>
      <c r="B95" s="389"/>
      <c r="C95" s="389"/>
      <c r="D95" s="390"/>
      <c r="E95" s="34"/>
      <c r="F95" s="190">
        <f>666.12*('PPI Adj'!D6)</f>
        <v>777.36203999999998</v>
      </c>
    </row>
    <row r="96" spans="1:6" ht="12.75" customHeight="1" x14ac:dyDescent="0.2">
      <c r="A96" s="388" t="s">
        <v>88</v>
      </c>
      <c r="B96" s="389"/>
      <c r="C96" s="389"/>
      <c r="D96" s="390"/>
      <c r="E96" s="34"/>
      <c r="F96" s="190">
        <f>3939.22*('PPI Adj'!D6)</f>
        <v>4597.0697399999999</v>
      </c>
    </row>
    <row r="97" spans="1:6" x14ac:dyDescent="0.2">
      <c r="A97" s="388" t="s">
        <v>40</v>
      </c>
      <c r="B97" s="389"/>
      <c r="C97" s="389"/>
      <c r="D97" s="390"/>
      <c r="E97" s="34"/>
      <c r="F97" s="190">
        <f>578.76*('PPI Adj'!D6)</f>
        <v>675.41291999999999</v>
      </c>
    </row>
    <row r="98" spans="1:6" x14ac:dyDescent="0.2">
      <c r="A98" s="388" t="s">
        <v>14</v>
      </c>
      <c r="B98" s="389"/>
      <c r="C98" s="389"/>
      <c r="D98" s="390"/>
      <c r="E98" s="34"/>
      <c r="F98" s="190">
        <f>15124.23*('PPI Adj'!D6)</f>
        <v>17649.976409999999</v>
      </c>
    </row>
    <row r="99" spans="1:6" ht="12.75" customHeight="1" x14ac:dyDescent="0.2">
      <c r="A99" s="388" t="s">
        <v>91</v>
      </c>
      <c r="B99" s="389"/>
      <c r="C99" s="389"/>
      <c r="D99" s="390"/>
      <c r="E99" s="34"/>
      <c r="F99" s="190">
        <f>1800*('PPI Adj'!D6)</f>
        <v>2100.6</v>
      </c>
    </row>
    <row r="100" spans="1:6" x14ac:dyDescent="0.2">
      <c r="A100" s="394" t="s">
        <v>275</v>
      </c>
      <c r="B100" s="395"/>
      <c r="C100" s="395"/>
      <c r="D100" s="396"/>
      <c r="E100" s="34"/>
      <c r="F100" s="200">
        <f>-413.21*('PPI Adj'!D6)</f>
        <v>-482.21607</v>
      </c>
    </row>
    <row r="101" spans="1:6" ht="13.5" customHeight="1" thickBot="1" x14ac:dyDescent="0.25">
      <c r="A101" s="391" t="s">
        <v>92</v>
      </c>
      <c r="B101" s="392"/>
      <c r="C101" s="392"/>
      <c r="D101" s="393"/>
      <c r="E101" s="35"/>
      <c r="F101" s="191">
        <f>1013.03*('PPI Adj'!D6)</f>
        <v>1182.2060100000001</v>
      </c>
    </row>
    <row r="102" spans="1:6" ht="13.5" thickBot="1" x14ac:dyDescent="0.25"/>
    <row r="103" spans="1:6" s="17" customFormat="1" ht="18" customHeight="1" thickBot="1" x14ac:dyDescent="0.3">
      <c r="A103" s="373" t="s">
        <v>166</v>
      </c>
      <c r="B103" s="374"/>
      <c r="C103" s="374"/>
      <c r="D103" s="375"/>
      <c r="E103" s="38"/>
      <c r="F103" s="181" t="s">
        <v>420</v>
      </c>
    </row>
    <row r="104" spans="1:6" s="3" customFormat="1" ht="15" customHeight="1" thickBot="1" x14ac:dyDescent="0.3">
      <c r="A104" s="52" t="s">
        <v>33</v>
      </c>
      <c r="B104" s="24" t="s">
        <v>7</v>
      </c>
      <c r="C104" s="397" t="s">
        <v>165</v>
      </c>
      <c r="D104" s="398"/>
      <c r="E104" s="39"/>
      <c r="F104" s="188" t="s">
        <v>19</v>
      </c>
    </row>
    <row r="105" spans="1:6" s="13" customFormat="1" ht="40.5" customHeight="1" thickBot="1" x14ac:dyDescent="0.3">
      <c r="A105" s="53" t="s">
        <v>83</v>
      </c>
      <c r="B105" s="23" t="s">
        <v>146</v>
      </c>
      <c r="C105" s="399"/>
      <c r="D105" s="400"/>
      <c r="E105" s="35"/>
      <c r="F105" s="184" t="s">
        <v>438</v>
      </c>
    </row>
    <row r="106" spans="1:6" s="13" customFormat="1" ht="26.25" thickBot="1" x14ac:dyDescent="0.3">
      <c r="A106" s="50" t="s">
        <v>34</v>
      </c>
      <c r="B106" s="30" t="s">
        <v>107</v>
      </c>
      <c r="C106" s="380" t="s">
        <v>30</v>
      </c>
      <c r="D106" s="381"/>
      <c r="E106" s="34"/>
      <c r="F106" s="184" t="s">
        <v>439</v>
      </c>
    </row>
    <row r="107" spans="1:6" s="13" customFormat="1" ht="53.45" customHeight="1" thickBot="1" x14ac:dyDescent="0.3">
      <c r="A107" s="50" t="s">
        <v>35</v>
      </c>
      <c r="B107" s="30" t="s">
        <v>97</v>
      </c>
      <c r="C107" s="368"/>
      <c r="D107" s="369"/>
      <c r="E107" s="35"/>
      <c r="F107" s="184"/>
    </row>
    <row r="108" spans="1:6" s="13" customFormat="1" ht="28.5" customHeight="1" thickBot="1" x14ac:dyDescent="0.3">
      <c r="A108" s="50" t="s">
        <v>36</v>
      </c>
      <c r="B108" s="30" t="s">
        <v>84</v>
      </c>
      <c r="C108" s="380" t="s">
        <v>99</v>
      </c>
      <c r="D108" s="381"/>
      <c r="E108" s="34"/>
      <c r="F108" s="184" t="s">
        <v>441</v>
      </c>
    </row>
    <row r="109" spans="1:6" s="13" customFormat="1" ht="12.75" customHeight="1" x14ac:dyDescent="0.25">
      <c r="A109" s="354" t="s">
        <v>60</v>
      </c>
      <c r="B109" s="356" t="s">
        <v>133</v>
      </c>
      <c r="C109" s="358" t="s">
        <v>203</v>
      </c>
      <c r="D109" s="359"/>
      <c r="E109" s="34"/>
      <c r="F109" s="183" t="s">
        <v>278</v>
      </c>
    </row>
    <row r="110" spans="1:6" s="13" customFormat="1" x14ac:dyDescent="0.25">
      <c r="A110" s="362"/>
      <c r="B110" s="363"/>
      <c r="C110" s="364" t="s">
        <v>202</v>
      </c>
      <c r="D110" s="365"/>
      <c r="E110" s="34"/>
      <c r="F110" s="169">
        <v>6005</v>
      </c>
    </row>
    <row r="111" spans="1:6" s="13" customFormat="1" x14ac:dyDescent="0.25">
      <c r="A111" s="362"/>
      <c r="B111" s="363"/>
      <c r="C111" s="364" t="s">
        <v>114</v>
      </c>
      <c r="D111" s="365"/>
      <c r="E111" s="34"/>
      <c r="F111" s="169" t="s">
        <v>442</v>
      </c>
    </row>
    <row r="112" spans="1:6" s="13" customFormat="1" ht="30.75" customHeight="1" thickBot="1" x14ac:dyDescent="0.3">
      <c r="A112" s="355"/>
      <c r="B112" s="357"/>
      <c r="C112" s="352" t="s">
        <v>115</v>
      </c>
      <c r="D112" s="353"/>
      <c r="E112" s="34"/>
      <c r="F112" s="174" t="s">
        <v>443</v>
      </c>
    </row>
    <row r="113" spans="1:6" s="13" customFormat="1" ht="12.75" customHeight="1" x14ac:dyDescent="0.25">
      <c r="A113" s="354" t="s">
        <v>61</v>
      </c>
      <c r="B113" s="356" t="s">
        <v>206</v>
      </c>
      <c r="C113" s="358" t="s">
        <v>205</v>
      </c>
      <c r="D113" s="359"/>
      <c r="E113" s="34"/>
      <c r="F113" s="183"/>
    </row>
    <row r="114" spans="1:6" s="13" customFormat="1" x14ac:dyDescent="0.25">
      <c r="A114" s="362"/>
      <c r="B114" s="363"/>
      <c r="C114" s="364" t="s">
        <v>204</v>
      </c>
      <c r="D114" s="365"/>
      <c r="E114" s="34"/>
      <c r="F114" s="185"/>
    </row>
    <row r="115" spans="1:6" s="13" customFormat="1" x14ac:dyDescent="0.25">
      <c r="A115" s="362"/>
      <c r="B115" s="363"/>
      <c r="C115" s="364" t="s">
        <v>203</v>
      </c>
      <c r="D115" s="365"/>
      <c r="E115" s="34"/>
      <c r="F115" s="185"/>
    </row>
    <row r="116" spans="1:6" s="13" customFormat="1" x14ac:dyDescent="0.25">
      <c r="A116" s="362"/>
      <c r="B116" s="363"/>
      <c r="C116" s="364" t="s">
        <v>202</v>
      </c>
      <c r="D116" s="365"/>
      <c r="E116" s="34"/>
      <c r="F116" s="169"/>
    </row>
    <row r="117" spans="1:6" s="13" customFormat="1" x14ac:dyDescent="0.25">
      <c r="A117" s="362"/>
      <c r="B117" s="363"/>
      <c r="C117" s="364" t="s">
        <v>112</v>
      </c>
      <c r="D117" s="365"/>
      <c r="E117" s="34"/>
      <c r="F117" s="169"/>
    </row>
    <row r="118" spans="1:6" s="13" customFormat="1" x14ac:dyDescent="0.25">
      <c r="A118" s="362"/>
      <c r="B118" s="363"/>
      <c r="C118" s="364" t="s">
        <v>113</v>
      </c>
      <c r="D118" s="365"/>
      <c r="E118" s="34"/>
      <c r="F118" s="185"/>
    </row>
    <row r="119" spans="1:6" s="13" customFormat="1" x14ac:dyDescent="0.25">
      <c r="A119" s="362"/>
      <c r="B119" s="363"/>
      <c r="C119" s="364" t="s">
        <v>114</v>
      </c>
      <c r="D119" s="365"/>
      <c r="E119" s="34"/>
      <c r="F119" s="185"/>
    </row>
    <row r="120" spans="1:6" s="13" customFormat="1" ht="13.5" thickBot="1" x14ac:dyDescent="0.3">
      <c r="A120" s="355"/>
      <c r="B120" s="357"/>
      <c r="C120" s="352" t="s">
        <v>115</v>
      </c>
      <c r="D120" s="353"/>
      <c r="E120" s="34"/>
      <c r="F120" s="174"/>
    </row>
    <row r="121" spans="1:6" s="13" customFormat="1" ht="144.6" customHeight="1" thickBot="1" x14ac:dyDescent="0.3">
      <c r="A121" s="54" t="s">
        <v>86</v>
      </c>
      <c r="B121" s="18" t="s">
        <v>143</v>
      </c>
      <c r="C121" s="380" t="s">
        <v>104</v>
      </c>
      <c r="D121" s="381"/>
      <c r="E121" s="34"/>
      <c r="F121" s="183" t="s">
        <v>444</v>
      </c>
    </row>
    <row r="122" spans="1:6" ht="168.95" customHeight="1" thickBot="1" x14ac:dyDescent="0.25">
      <c r="A122" s="50" t="s">
        <v>85</v>
      </c>
      <c r="B122" s="14" t="s">
        <v>170</v>
      </c>
      <c r="C122" s="380" t="s">
        <v>104</v>
      </c>
      <c r="D122" s="381"/>
      <c r="E122" s="34"/>
      <c r="F122" s="184" t="s">
        <v>506</v>
      </c>
    </row>
    <row r="123" spans="1:6" x14ac:dyDescent="0.2">
      <c r="A123" s="354" t="s">
        <v>13</v>
      </c>
      <c r="B123" s="356" t="s">
        <v>98</v>
      </c>
      <c r="C123" s="358" t="s">
        <v>30</v>
      </c>
      <c r="D123" s="359"/>
      <c r="E123" s="34"/>
      <c r="F123" s="183" t="s">
        <v>446</v>
      </c>
    </row>
    <row r="124" spans="1:6" ht="30.6" customHeight="1" thickBot="1" x14ac:dyDescent="0.25">
      <c r="A124" s="355"/>
      <c r="B124" s="357"/>
      <c r="C124" s="352" t="s">
        <v>109</v>
      </c>
      <c r="D124" s="353"/>
      <c r="E124" s="34"/>
      <c r="F124" s="174">
        <v>1000</v>
      </c>
    </row>
    <row r="125" spans="1:6" ht="66" customHeight="1" thickBot="1" x14ac:dyDescent="0.25">
      <c r="A125" s="50" t="s">
        <v>37</v>
      </c>
      <c r="B125" s="30" t="s">
        <v>135</v>
      </c>
      <c r="C125" s="368"/>
      <c r="D125" s="369"/>
      <c r="E125" s="35"/>
      <c r="F125" s="184" t="s">
        <v>447</v>
      </c>
    </row>
    <row r="126" spans="1:6" ht="42" customHeight="1" thickBot="1" x14ac:dyDescent="0.25">
      <c r="A126" s="50" t="s">
        <v>38</v>
      </c>
      <c r="B126" s="30" t="s">
        <v>87</v>
      </c>
      <c r="C126" s="368"/>
      <c r="D126" s="369"/>
      <c r="E126" s="35"/>
      <c r="F126" s="184"/>
    </row>
    <row r="127" spans="1:6" ht="18.600000000000001" customHeight="1" thickBot="1" x14ac:dyDescent="0.25">
      <c r="A127" s="50" t="s">
        <v>201</v>
      </c>
      <c r="B127" s="30" t="s">
        <v>200</v>
      </c>
      <c r="C127" s="380"/>
      <c r="D127" s="381"/>
      <c r="E127" s="34"/>
      <c r="F127" s="184"/>
    </row>
    <row r="128" spans="1:6" ht="28.5" customHeight="1" thickBot="1" x14ac:dyDescent="0.25">
      <c r="A128" s="50" t="s">
        <v>39</v>
      </c>
      <c r="B128" s="30" t="s">
        <v>106</v>
      </c>
      <c r="C128" s="380" t="s">
        <v>105</v>
      </c>
      <c r="D128" s="381"/>
      <c r="E128" s="34"/>
      <c r="F128" s="184" t="s">
        <v>499</v>
      </c>
    </row>
    <row r="129" spans="1:6" x14ac:dyDescent="0.2">
      <c r="A129" s="354" t="s">
        <v>88</v>
      </c>
      <c r="B129" s="356" t="s">
        <v>148</v>
      </c>
      <c r="C129" s="358" t="s">
        <v>100</v>
      </c>
      <c r="D129" s="359"/>
      <c r="E129" s="34"/>
      <c r="F129" s="183" t="s">
        <v>448</v>
      </c>
    </row>
    <row r="130" spans="1:6" ht="108" customHeight="1" thickBot="1" x14ac:dyDescent="0.25">
      <c r="A130" s="355"/>
      <c r="B130" s="357"/>
      <c r="C130" s="352" t="s">
        <v>110</v>
      </c>
      <c r="D130" s="353"/>
      <c r="E130" s="34"/>
      <c r="F130" s="201" t="s">
        <v>449</v>
      </c>
    </row>
    <row r="131" spans="1:6" ht="51.75" thickBot="1" x14ac:dyDescent="0.25">
      <c r="A131" s="50" t="s">
        <v>40</v>
      </c>
      <c r="B131" s="30" t="s">
        <v>137</v>
      </c>
      <c r="C131" s="380" t="s">
        <v>100</v>
      </c>
      <c r="D131" s="381"/>
      <c r="E131" s="34"/>
      <c r="F131" s="174" t="s">
        <v>457</v>
      </c>
    </row>
    <row r="132" spans="1:6" ht="53.45" customHeight="1" thickBot="1" x14ac:dyDescent="0.25">
      <c r="A132" s="50" t="s">
        <v>14</v>
      </c>
      <c r="B132" s="30" t="s">
        <v>138</v>
      </c>
      <c r="C132" s="380" t="s">
        <v>139</v>
      </c>
      <c r="D132" s="381"/>
      <c r="E132" s="34"/>
      <c r="F132" s="184">
        <v>2</v>
      </c>
    </row>
    <row r="133" spans="1:6" ht="68.45" customHeight="1" thickBot="1" x14ac:dyDescent="0.25">
      <c r="A133" s="50" t="s">
        <v>91</v>
      </c>
      <c r="B133" s="30" t="s">
        <v>144</v>
      </c>
      <c r="C133" s="380" t="s">
        <v>100</v>
      </c>
      <c r="D133" s="381"/>
      <c r="E133" s="34"/>
      <c r="F133" s="184" t="s">
        <v>359</v>
      </c>
    </row>
    <row r="134" spans="1:6" ht="70.5" customHeight="1" thickBot="1" x14ac:dyDescent="0.25">
      <c r="A134" s="50" t="s">
        <v>92</v>
      </c>
      <c r="B134" s="30" t="s">
        <v>145</v>
      </c>
      <c r="C134" s="368"/>
      <c r="D134" s="369"/>
      <c r="E134" s="35"/>
      <c r="F134" s="184"/>
    </row>
  </sheetData>
  <sheetProtection algorithmName="SHA-512" hashValue="MjacJtpkmSezWJnz5qdaaQCMcx/fADVhGtX0dVlTuZW4AQ7T+XnhZOWvzN0mO9kPO8rHJQOw9a3EGQ8r9dBOEg==" saltValue="SI+IjHmeVXwSQWbCPT9Qjg==" spinCount="100000" sheet="1" objects="1" scenarios="1"/>
  <dataConsolidate/>
  <mergeCells count="153">
    <mergeCell ref="B22:D22"/>
    <mergeCell ref="A24:D24"/>
    <mergeCell ref="C25:D25"/>
    <mergeCell ref="C26:D26"/>
    <mergeCell ref="B13:D13"/>
    <mergeCell ref="B14:D14"/>
    <mergeCell ref="B15:D15"/>
    <mergeCell ref="B16:D16"/>
    <mergeCell ref="B17:D17"/>
    <mergeCell ref="A19:D19"/>
    <mergeCell ref="B9:D9"/>
    <mergeCell ref="B10:D10"/>
    <mergeCell ref="B11:D11"/>
    <mergeCell ref="B12:D12"/>
    <mergeCell ref="A3:D3"/>
    <mergeCell ref="A4:D4"/>
    <mergeCell ref="A6:D6"/>
    <mergeCell ref="B8:D8"/>
    <mergeCell ref="B21:D21"/>
    <mergeCell ref="C28:D28"/>
    <mergeCell ref="C29:D29"/>
    <mergeCell ref="A30:A34"/>
    <mergeCell ref="B30:B34"/>
    <mergeCell ref="C30:D30"/>
    <mergeCell ref="C31:D31"/>
    <mergeCell ref="C32:D32"/>
    <mergeCell ref="C33:D33"/>
    <mergeCell ref="C34:D34"/>
    <mergeCell ref="A27:A28"/>
    <mergeCell ref="B27:B28"/>
    <mergeCell ref="C27:D27"/>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9:A61"/>
    <mergeCell ref="B59:B61"/>
    <mergeCell ref="C59:D59"/>
    <mergeCell ref="C60:D60"/>
    <mergeCell ref="C61:D61"/>
    <mergeCell ref="C62:D62"/>
    <mergeCell ref="A52:A54"/>
    <mergeCell ref="B52:B54"/>
    <mergeCell ref="C52:D52"/>
    <mergeCell ref="C53:D53"/>
    <mergeCell ref="C54:D54"/>
    <mergeCell ref="C55:D55"/>
    <mergeCell ref="C56:D56"/>
    <mergeCell ref="A57:A58"/>
    <mergeCell ref="B57:B58"/>
    <mergeCell ref="C57:D57"/>
    <mergeCell ref="C58:D58"/>
    <mergeCell ref="C63:D63"/>
    <mergeCell ref="C64:D64"/>
    <mergeCell ref="C65:D65"/>
    <mergeCell ref="C66:D66"/>
    <mergeCell ref="C67:D67"/>
    <mergeCell ref="C76:D76"/>
    <mergeCell ref="C77:D77"/>
    <mergeCell ref="C78:D78"/>
    <mergeCell ref="A68:A69"/>
    <mergeCell ref="B68:B69"/>
    <mergeCell ref="C68:D68"/>
    <mergeCell ref="C69:D69"/>
    <mergeCell ref="C79:D79"/>
    <mergeCell ref="A81:D81"/>
    <mergeCell ref="C70:D70"/>
    <mergeCell ref="C71:D71"/>
    <mergeCell ref="C72:D72"/>
    <mergeCell ref="C73:D73"/>
    <mergeCell ref="C74:D74"/>
    <mergeCell ref="A82:D82"/>
    <mergeCell ref="A83:D83"/>
    <mergeCell ref="C75:D75"/>
    <mergeCell ref="A84:D84"/>
    <mergeCell ref="A85:D85"/>
    <mergeCell ref="A86:D86"/>
    <mergeCell ref="A87:D87"/>
    <mergeCell ref="A99:D99"/>
    <mergeCell ref="A88:D88"/>
    <mergeCell ref="A89:D89"/>
    <mergeCell ref="A90:D90"/>
    <mergeCell ref="A91:D91"/>
    <mergeCell ref="A92:D92"/>
    <mergeCell ref="A93:D93"/>
    <mergeCell ref="A101:D101"/>
    <mergeCell ref="A103:D103"/>
    <mergeCell ref="C104:D104"/>
    <mergeCell ref="C105:D105"/>
    <mergeCell ref="C106:D106"/>
    <mergeCell ref="A94:D94"/>
    <mergeCell ref="A95:D95"/>
    <mergeCell ref="A96:D96"/>
    <mergeCell ref="A97:D97"/>
    <mergeCell ref="A98:D98"/>
    <mergeCell ref="A100:D100"/>
    <mergeCell ref="C121:D121"/>
    <mergeCell ref="C122:D122"/>
    <mergeCell ref="A123:A124"/>
    <mergeCell ref="B123:B124"/>
    <mergeCell ref="C123:D123"/>
    <mergeCell ref="C124:D124"/>
    <mergeCell ref="C107:D107"/>
    <mergeCell ref="C108:D108"/>
    <mergeCell ref="A109:A112"/>
    <mergeCell ref="B109:B112"/>
    <mergeCell ref="C109:D109"/>
    <mergeCell ref="C110:D110"/>
    <mergeCell ref="C111:D111"/>
    <mergeCell ref="C112:D112"/>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60" priority="43">
      <formula>#REF!="NO"</formula>
    </cfRule>
  </conditionalFormatting>
  <conditionalFormatting sqref="C40:D42">
    <cfRule type="expression" dxfId="59" priority="13">
      <formula>$F$2="NO"</formula>
    </cfRule>
  </conditionalFormatting>
  <conditionalFormatting sqref="C26:E39">
    <cfRule type="expression" dxfId="58" priority="44">
      <formula>#REF!="NO"</formula>
    </cfRule>
  </conditionalFormatting>
  <conditionalFormatting sqref="C43:E79">
    <cfRule type="expression" dxfId="57" priority="12">
      <formula>#REF!="NO"</formula>
    </cfRule>
  </conditionalFormatting>
  <conditionalFormatting sqref="C105:F134">
    <cfRule type="expression" dxfId="56" priority="17">
      <formula>#REF!="NO"</formula>
    </cfRule>
  </conditionalFormatting>
  <conditionalFormatting sqref="E40:E42">
    <cfRule type="expression" dxfId="55" priority="16">
      <formula>#REF!="NO"</formula>
    </cfRule>
  </conditionalFormatting>
  <conditionalFormatting sqref="E83:F101">
    <cfRule type="expression" dxfId="54" priority="1">
      <formula>#REF!="NO"</formula>
    </cfRule>
  </conditionalFormatting>
  <conditionalFormatting sqref="F8:F17">
    <cfRule type="expression" dxfId="53" priority="40">
      <formula>#REF!="NO"</formula>
    </cfRule>
  </conditionalFormatting>
  <conditionalFormatting sqref="F21:F22">
    <cfRule type="expression" dxfId="52" priority="41">
      <formula>#REF!="NO"</formula>
    </cfRule>
  </conditionalFormatting>
  <conditionalFormatting sqref="F26:G79">
    <cfRule type="expression" dxfId="51" priority="10">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B00-000002000000}">
      <formula1>0.01</formula1>
      <formula2>100</formula2>
    </dataValidation>
    <dataValidation type="decimal" allowBlank="1" showInputMessage="1" showErrorMessage="1" error="Invalid Entry - Bidder must enter a value that is greater than $0" sqref="F21" xr:uid="{00000000-0002-0000-0B00-000001000000}">
      <formula1>0</formula1>
      <formula2>9E+21</formula2>
    </dataValidation>
    <dataValidation type="decimal" operator="greaterThanOrEqual" allowBlank="1" showInputMessage="1" showErrorMessage="1" error="The Pickup Allowance cannot be a negative number." sqref="F16" xr:uid="{00000000-0002-0000-0B00-000000000000}">
      <formula1>0</formula1>
    </dataValidation>
  </dataValidations>
  <pageMargins left="0.25" right="0.25" top="0.5" bottom="0.25" header="0.3" footer="0.3"/>
  <pageSetup scale="93" fitToHeight="0" orientation="landscape" r:id="rId1"/>
  <rowBreaks count="3" manualBreakCount="3">
    <brk id="22" max="6" man="1"/>
    <brk id="51" max="6" man="1"/>
    <brk id="128"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5DD85-6FB9-4885-AF54-36A37AFDE5A4}">
  <sheetPr>
    <tabColor theme="8"/>
    <pageSetUpPr autoPageBreaks="0" fitToPage="1"/>
  </sheetPr>
  <dimension ref="A1:G134"/>
  <sheetViews>
    <sheetView showGridLines="0" zoomScaleNormal="100" zoomScaleSheetLayoutView="100" workbookViewId="0">
      <selection activeCell="F8" sqref="F8"/>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ht="18" customHeight="1" x14ac:dyDescent="0.2">
      <c r="A1" s="165" t="str">
        <f>'A (Item 2-G)'!$A$1</f>
        <v>GROUP 40524-23254, SCHOOL BUSES (Statewide)                                                             Attachment 1 - Specifications and Pricing (Revised October 15, 2026)</v>
      </c>
      <c r="F1" s="210"/>
    </row>
    <row r="2" spans="1:7" s="25" customFormat="1" ht="18" customHeight="1" thickBot="1" x14ac:dyDescent="0.3">
      <c r="A2" s="316" t="str">
        <f>'Attachment 1 - Summary'!B2</f>
        <v>PC69864 New York Bus Sales, LLC</v>
      </c>
      <c r="B2" s="26"/>
      <c r="C2" s="26"/>
      <c r="D2" s="26"/>
      <c r="E2" s="26"/>
      <c r="F2" s="314"/>
      <c r="G2" s="26"/>
    </row>
    <row r="3" spans="1:7" ht="24" thickBot="1" x14ac:dyDescent="0.25">
      <c r="A3" s="456" t="s">
        <v>488</v>
      </c>
      <c r="B3" s="457"/>
      <c r="C3" s="457"/>
      <c r="D3" s="458"/>
      <c r="E3" s="9"/>
      <c r="F3" s="312"/>
      <c r="G3" s="9"/>
    </row>
    <row r="4" spans="1:7" ht="51" customHeight="1" thickBot="1" x14ac:dyDescent="0.25">
      <c r="A4" s="343" t="s">
        <v>487</v>
      </c>
      <c r="B4" s="344"/>
      <c r="C4" s="344"/>
      <c r="D4" s="345"/>
      <c r="E4" s="9"/>
      <c r="F4" s="312"/>
      <c r="G4" s="9"/>
    </row>
    <row r="5" spans="1:7" s="4" customFormat="1" ht="11.25" customHeight="1" thickBot="1" x14ac:dyDescent="0.3">
      <c r="A5" s="57"/>
      <c r="B5" s="57"/>
      <c r="C5" s="57"/>
      <c r="D5" s="57"/>
      <c r="E5" s="57"/>
      <c r="F5" s="313"/>
    </row>
    <row r="6" spans="1:7" s="8" customFormat="1" ht="16.5" customHeight="1" thickBot="1" x14ac:dyDescent="0.25">
      <c r="A6" s="346" t="s">
        <v>151</v>
      </c>
      <c r="B6" s="347"/>
      <c r="C6" s="347"/>
      <c r="D6" s="348"/>
      <c r="E6" s="36"/>
      <c r="F6" s="181" t="s">
        <v>420</v>
      </c>
      <c r="G6" s="36"/>
    </row>
    <row r="7" spans="1:7" s="4" customFormat="1" ht="15" customHeight="1" thickBot="1" x14ac:dyDescent="0.3">
      <c r="A7" s="41" t="s">
        <v>6</v>
      </c>
      <c r="B7" s="27" t="s">
        <v>165</v>
      </c>
      <c r="C7" s="32"/>
      <c r="D7" s="40"/>
      <c r="E7" s="37"/>
      <c r="F7" s="188" t="s">
        <v>19</v>
      </c>
      <c r="G7" s="37"/>
    </row>
    <row r="8" spans="1:7" ht="65.25" thickTop="1" thickBot="1" x14ac:dyDescent="0.25">
      <c r="A8" s="42" t="s">
        <v>9</v>
      </c>
      <c r="B8" s="337" t="s">
        <v>152</v>
      </c>
      <c r="C8" s="338"/>
      <c r="D8" s="339"/>
      <c r="E8" s="13"/>
      <c r="F8" s="167" t="s">
        <v>419</v>
      </c>
      <c r="G8" s="13"/>
    </row>
    <row r="9" spans="1:7" s="8" customFormat="1" ht="44.25" customHeight="1" thickTop="1" thickBot="1" x14ac:dyDescent="0.25">
      <c r="A9" s="42" t="s">
        <v>136</v>
      </c>
      <c r="B9" s="337" t="s">
        <v>191</v>
      </c>
      <c r="C9" s="338"/>
      <c r="D9" s="339"/>
      <c r="E9" s="13"/>
      <c r="F9" s="167" t="s">
        <v>504</v>
      </c>
      <c r="G9" s="13"/>
    </row>
    <row r="10" spans="1:7" ht="12.75" customHeight="1" thickTop="1" x14ac:dyDescent="0.2">
      <c r="A10" s="43" t="s">
        <v>0</v>
      </c>
      <c r="B10" s="328" t="s">
        <v>154</v>
      </c>
      <c r="C10" s="329"/>
      <c r="D10" s="330"/>
      <c r="E10" s="13"/>
      <c r="F10" s="169" t="s">
        <v>420</v>
      </c>
      <c r="G10" s="13"/>
    </row>
    <row r="11" spans="1:7" x14ac:dyDescent="0.2">
      <c r="A11" s="43" t="s">
        <v>1</v>
      </c>
      <c r="B11" s="328" t="s">
        <v>153</v>
      </c>
      <c r="C11" s="329"/>
      <c r="D11" s="330"/>
      <c r="E11" s="13"/>
      <c r="F11" s="169" t="s">
        <v>486</v>
      </c>
      <c r="G11" s="13"/>
    </row>
    <row r="12" spans="1:7" ht="12.75" customHeight="1" thickBot="1" x14ac:dyDescent="0.25">
      <c r="A12" s="44" t="s">
        <v>2</v>
      </c>
      <c r="B12" s="331" t="s">
        <v>155</v>
      </c>
      <c r="C12" s="332"/>
      <c r="D12" s="333"/>
      <c r="E12" s="13"/>
      <c r="F12" s="170">
        <v>3510</v>
      </c>
      <c r="G12" s="13"/>
    </row>
    <row r="13" spans="1:7" ht="13.5" thickTop="1" x14ac:dyDescent="0.2">
      <c r="A13" s="43" t="s">
        <v>3</v>
      </c>
      <c r="B13" s="328" t="s">
        <v>157</v>
      </c>
      <c r="C13" s="329"/>
      <c r="D13" s="330"/>
      <c r="E13" s="13"/>
      <c r="F13" s="169" t="s">
        <v>420</v>
      </c>
      <c r="G13" s="13"/>
    </row>
    <row r="14" spans="1:7" x14ac:dyDescent="0.2">
      <c r="A14" s="43" t="s">
        <v>4</v>
      </c>
      <c r="B14" s="328" t="s">
        <v>156</v>
      </c>
      <c r="C14" s="329"/>
      <c r="D14" s="330"/>
      <c r="E14" s="13"/>
      <c r="F14" s="169" t="s">
        <v>475</v>
      </c>
      <c r="G14" s="13"/>
    </row>
    <row r="15" spans="1:7" ht="15.75" customHeight="1" thickBot="1" x14ac:dyDescent="0.25">
      <c r="A15" s="45" t="s">
        <v>5</v>
      </c>
      <c r="B15" s="331" t="s">
        <v>158</v>
      </c>
      <c r="C15" s="332"/>
      <c r="D15" s="333"/>
      <c r="E15" s="13"/>
      <c r="F15" s="172">
        <v>3510</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16.5" customHeight="1" thickBot="1" x14ac:dyDescent="0.25">
      <c r="A19" s="346" t="s">
        <v>150</v>
      </c>
      <c r="B19" s="347"/>
      <c r="C19" s="347"/>
      <c r="D19" s="348"/>
      <c r="E19" s="36"/>
      <c r="F19" s="181" t="s">
        <v>420</v>
      </c>
      <c r="G19" s="36"/>
    </row>
    <row r="20" spans="1:7" s="4" customFormat="1" ht="15" customHeight="1" thickBot="1" x14ac:dyDescent="0.3">
      <c r="A20" s="55" t="s">
        <v>6</v>
      </c>
      <c r="B20" s="31" t="s">
        <v>165</v>
      </c>
      <c r="C20" s="33"/>
      <c r="D20" s="48"/>
      <c r="E20" s="37"/>
      <c r="F20" s="188" t="s">
        <v>19</v>
      </c>
      <c r="G20" s="37"/>
    </row>
    <row r="21" spans="1:7" ht="56.25" customHeight="1" x14ac:dyDescent="0.2">
      <c r="A21" s="46" t="s">
        <v>42</v>
      </c>
      <c r="B21" s="349" t="s">
        <v>161</v>
      </c>
      <c r="C21" s="350"/>
      <c r="D21" s="351"/>
      <c r="E21" s="13"/>
      <c r="F21" s="197">
        <f>156400*('PPI Adj'!D6)</f>
        <v>182518.80000000002</v>
      </c>
      <c r="G21" s="13"/>
    </row>
    <row r="22" spans="1:7" ht="33" customHeight="1" thickBot="1" x14ac:dyDescent="0.25">
      <c r="A22" s="47" t="s">
        <v>41</v>
      </c>
      <c r="B22" s="370" t="s">
        <v>163</v>
      </c>
      <c r="C22" s="371"/>
      <c r="D22" s="372"/>
      <c r="E22" s="1"/>
      <c r="F22" s="179">
        <v>22</v>
      </c>
      <c r="G22" s="1"/>
    </row>
    <row r="23" spans="1:7" ht="13.5" thickBot="1" x14ac:dyDescent="0.25">
      <c r="A23" s="58"/>
      <c r="B23" s="1"/>
      <c r="C23" s="1"/>
      <c r="D23" s="1"/>
      <c r="E23" s="1"/>
      <c r="F23" s="180"/>
      <c r="G23" s="1"/>
    </row>
    <row r="24" spans="1:7" s="8" customFormat="1" ht="15.75" customHeight="1" thickBot="1" x14ac:dyDescent="0.25">
      <c r="A24" s="373" t="s">
        <v>164</v>
      </c>
      <c r="B24" s="374"/>
      <c r="C24" s="374"/>
      <c r="D24" s="375"/>
      <c r="E24" s="38"/>
      <c r="F24" s="181" t="s">
        <v>420</v>
      </c>
      <c r="G24" s="38"/>
    </row>
    <row r="25" spans="1:7" s="3" customFormat="1" ht="15" customHeight="1" thickBot="1" x14ac:dyDescent="0.3">
      <c r="A25" s="55" t="s">
        <v>6</v>
      </c>
      <c r="B25" s="56" t="s">
        <v>7</v>
      </c>
      <c r="C25" s="376" t="s">
        <v>165</v>
      </c>
      <c r="D25" s="377"/>
      <c r="E25" s="39"/>
      <c r="F25" s="188" t="s">
        <v>19</v>
      </c>
      <c r="G25" s="39"/>
    </row>
    <row r="26" spans="1:7" s="13" customFormat="1" ht="65.45" customHeight="1" thickBot="1" x14ac:dyDescent="0.3">
      <c r="A26" s="49" t="s">
        <v>8</v>
      </c>
      <c r="B26" s="30" t="s">
        <v>485</v>
      </c>
      <c r="C26" s="352" t="s">
        <v>118</v>
      </c>
      <c r="D26" s="353"/>
      <c r="E26" s="34"/>
      <c r="F26" s="174">
        <v>33000</v>
      </c>
      <c r="G26" s="34"/>
    </row>
    <row r="27" spans="1:7" s="13" customFormat="1" x14ac:dyDescent="0.25">
      <c r="A27" s="354" t="s">
        <v>21</v>
      </c>
      <c r="B27" s="356" t="s">
        <v>478</v>
      </c>
      <c r="C27" s="358" t="s">
        <v>67</v>
      </c>
      <c r="D27" s="359"/>
      <c r="E27" s="34"/>
      <c r="F27" s="183">
        <v>11</v>
      </c>
      <c r="G27" s="34"/>
    </row>
    <row r="28" spans="1:7" s="13" customFormat="1" ht="13.5" thickBot="1" x14ac:dyDescent="0.3">
      <c r="A28" s="355"/>
      <c r="B28" s="357"/>
      <c r="C28" s="352" t="s">
        <v>68</v>
      </c>
      <c r="D28" s="353"/>
      <c r="E28" s="34"/>
      <c r="F28" s="174">
        <v>66</v>
      </c>
      <c r="G28" s="34"/>
    </row>
    <row r="29" spans="1:7" s="13" customFormat="1" ht="15.6" customHeight="1" thickBot="1" x14ac:dyDescent="0.3">
      <c r="A29" s="50" t="s">
        <v>123</v>
      </c>
      <c r="B29" s="30" t="s">
        <v>108</v>
      </c>
      <c r="C29" s="368"/>
      <c r="D29" s="369"/>
      <c r="E29" s="35"/>
      <c r="F29" s="184"/>
      <c r="G29" s="35"/>
    </row>
    <row r="30" spans="1:7" s="13" customFormat="1" x14ac:dyDescent="0.25">
      <c r="A30" s="354" t="s">
        <v>59</v>
      </c>
      <c r="B30" s="356"/>
      <c r="C30" s="358" t="s">
        <v>58</v>
      </c>
      <c r="D30" s="359"/>
      <c r="E30" s="34"/>
      <c r="F30" s="183">
        <v>217</v>
      </c>
      <c r="G30" s="34"/>
    </row>
    <row r="31" spans="1:7" s="13" customFormat="1" x14ac:dyDescent="0.25">
      <c r="A31" s="362"/>
      <c r="B31" s="363"/>
      <c r="C31" s="364" t="s">
        <v>57</v>
      </c>
      <c r="D31" s="365"/>
      <c r="E31" s="34"/>
      <c r="F31" s="169">
        <v>433.05</v>
      </c>
      <c r="G31" s="34"/>
    </row>
    <row r="32" spans="1:7" s="13" customFormat="1" x14ac:dyDescent="0.25">
      <c r="A32" s="362"/>
      <c r="B32" s="363"/>
      <c r="C32" s="364" t="s">
        <v>69</v>
      </c>
      <c r="D32" s="365"/>
      <c r="E32" s="34"/>
      <c r="F32" s="169">
        <v>90.75</v>
      </c>
      <c r="G32" s="34"/>
    </row>
    <row r="33" spans="1:7" s="13" customFormat="1" x14ac:dyDescent="0.25">
      <c r="A33" s="362"/>
      <c r="B33" s="363"/>
      <c r="C33" s="366" t="s">
        <v>70</v>
      </c>
      <c r="D33" s="367"/>
      <c r="E33" s="34"/>
      <c r="F33" s="169">
        <v>77</v>
      </c>
      <c r="G33" s="34"/>
    </row>
    <row r="34" spans="1:7" s="13" customFormat="1" ht="13.5" thickBot="1" x14ac:dyDescent="0.3">
      <c r="A34" s="355"/>
      <c r="B34" s="357"/>
      <c r="C34" s="352" t="s">
        <v>111</v>
      </c>
      <c r="D34" s="353"/>
      <c r="E34" s="34"/>
      <c r="F34" s="174">
        <v>311.25</v>
      </c>
      <c r="G34" s="34"/>
    </row>
    <row r="35" spans="1:7" s="13" customFormat="1" x14ac:dyDescent="0.25">
      <c r="A35" s="354" t="s">
        <v>11</v>
      </c>
      <c r="B35" s="356"/>
      <c r="C35" s="358" t="s">
        <v>24</v>
      </c>
      <c r="D35" s="359"/>
      <c r="E35" s="34"/>
      <c r="F35" s="183">
        <v>12350</v>
      </c>
      <c r="G35" s="34"/>
    </row>
    <row r="36" spans="1:7" s="13" customFormat="1" ht="13.5" thickBot="1" x14ac:dyDescent="0.3">
      <c r="A36" s="355"/>
      <c r="B36" s="357"/>
      <c r="C36" s="352" t="s">
        <v>22</v>
      </c>
      <c r="D36" s="353"/>
      <c r="E36" s="34"/>
      <c r="F36" s="174">
        <v>13200</v>
      </c>
      <c r="G36" s="34"/>
    </row>
    <row r="37" spans="1:7" s="13" customFormat="1" x14ac:dyDescent="0.25">
      <c r="A37" s="354" t="s">
        <v>16</v>
      </c>
      <c r="B37" s="356"/>
      <c r="C37" s="358" t="s">
        <v>24</v>
      </c>
      <c r="D37" s="359"/>
      <c r="E37" s="34"/>
      <c r="F37" s="183">
        <v>21000</v>
      </c>
      <c r="G37" s="34"/>
    </row>
    <row r="38" spans="1:7" s="13" customFormat="1" ht="13.5" thickBot="1" x14ac:dyDescent="0.3">
      <c r="A38" s="355"/>
      <c r="B38" s="357"/>
      <c r="C38" s="360" t="s">
        <v>23</v>
      </c>
      <c r="D38" s="361"/>
      <c r="E38" s="34"/>
      <c r="F38" s="174">
        <v>21000</v>
      </c>
      <c r="G38" s="34"/>
    </row>
    <row r="39" spans="1:7" s="13" customFormat="1" ht="17.100000000000001" customHeight="1" thickBot="1" x14ac:dyDescent="0.3">
      <c r="A39" s="50" t="s">
        <v>52</v>
      </c>
      <c r="B39" s="30" t="s">
        <v>53</v>
      </c>
      <c r="C39" s="368"/>
      <c r="D39" s="369"/>
      <c r="E39" s="35"/>
      <c r="F39" s="184"/>
      <c r="G39" s="35"/>
    </row>
    <row r="40" spans="1:7" s="13" customFormat="1" x14ac:dyDescent="0.25">
      <c r="A40" s="354" t="s">
        <v>219</v>
      </c>
      <c r="B40" s="356" t="s">
        <v>222</v>
      </c>
      <c r="C40" s="358" t="s">
        <v>221</v>
      </c>
      <c r="D40" s="359"/>
      <c r="E40" s="34"/>
      <c r="F40" s="183" t="s">
        <v>257</v>
      </c>
      <c r="G40" s="34"/>
    </row>
    <row r="41" spans="1:7" s="13" customFormat="1" ht="14.45" customHeight="1" x14ac:dyDescent="0.25">
      <c r="A41" s="362"/>
      <c r="B41" s="363"/>
      <c r="C41" s="364" t="s">
        <v>220</v>
      </c>
      <c r="D41" s="365"/>
      <c r="E41" s="34"/>
      <c r="F41" s="169" t="s">
        <v>425</v>
      </c>
      <c r="G41" s="34"/>
    </row>
    <row r="42" spans="1:7" s="13" customFormat="1" ht="70.5" customHeight="1" thickBot="1" x14ac:dyDescent="0.3">
      <c r="A42" s="355"/>
      <c r="B42" s="363"/>
      <c r="C42" s="360"/>
      <c r="D42" s="361"/>
      <c r="E42" s="34"/>
      <c r="F42" s="171"/>
      <c r="G42" s="34"/>
    </row>
    <row r="43" spans="1:7" s="13" customFormat="1" ht="30" customHeight="1" thickBot="1" x14ac:dyDescent="0.3">
      <c r="A43" s="50" t="s">
        <v>219</v>
      </c>
      <c r="B43" s="30" t="s">
        <v>218</v>
      </c>
      <c r="C43" s="368"/>
      <c r="D43" s="369"/>
      <c r="E43" s="35"/>
      <c r="F43" s="184"/>
      <c r="G43" s="35"/>
    </row>
    <row r="44" spans="1:7" s="13" customFormat="1" ht="13.5" thickBot="1" x14ac:dyDescent="0.3">
      <c r="A44" s="378" t="s">
        <v>12</v>
      </c>
      <c r="B44" s="379" t="s">
        <v>142</v>
      </c>
      <c r="C44" s="358" t="s">
        <v>174</v>
      </c>
      <c r="D44" s="359"/>
      <c r="E44" s="34"/>
      <c r="F44" s="183" t="s">
        <v>278</v>
      </c>
      <c r="G44" s="34"/>
    </row>
    <row r="45" spans="1:7" s="13" customFormat="1" ht="13.5" thickBot="1" x14ac:dyDescent="0.3">
      <c r="A45" s="378"/>
      <c r="B45" s="379"/>
      <c r="C45" s="364" t="s">
        <v>175</v>
      </c>
      <c r="D45" s="365"/>
      <c r="E45" s="34"/>
      <c r="F45" s="169">
        <v>6610</v>
      </c>
      <c r="G45" s="34"/>
    </row>
    <row r="46" spans="1:7" s="13" customFormat="1" ht="13.5" thickBot="1" x14ac:dyDescent="0.3">
      <c r="A46" s="378"/>
      <c r="B46" s="379"/>
      <c r="C46" s="364" t="s">
        <v>176</v>
      </c>
      <c r="D46" s="365"/>
      <c r="E46" s="34"/>
      <c r="F46" s="185" t="s">
        <v>278</v>
      </c>
      <c r="G46" s="34"/>
    </row>
    <row r="47" spans="1:7" s="13" customFormat="1" ht="13.5" thickBot="1" x14ac:dyDescent="0.3">
      <c r="A47" s="378"/>
      <c r="B47" s="379"/>
      <c r="C47" s="364" t="s">
        <v>177</v>
      </c>
      <c r="D47" s="365"/>
      <c r="E47" s="34"/>
      <c r="F47" s="169">
        <v>6005</v>
      </c>
      <c r="G47" s="34"/>
    </row>
    <row r="48" spans="1:7" s="13" customFormat="1" ht="13.5" thickBot="1" x14ac:dyDescent="0.3">
      <c r="A48" s="378"/>
      <c r="B48" s="379"/>
      <c r="C48" s="364" t="s">
        <v>112</v>
      </c>
      <c r="D48" s="365"/>
      <c r="E48" s="34"/>
      <c r="F48" s="169" t="s">
        <v>426</v>
      </c>
      <c r="G48" s="34"/>
    </row>
    <row r="49" spans="1:7" s="13" customFormat="1" ht="13.5" thickBot="1" x14ac:dyDescent="0.3">
      <c r="A49" s="378"/>
      <c r="B49" s="379"/>
      <c r="C49" s="364" t="s">
        <v>113</v>
      </c>
      <c r="D49" s="365"/>
      <c r="E49" s="34"/>
      <c r="F49" s="169" t="s">
        <v>493</v>
      </c>
      <c r="G49" s="34"/>
    </row>
    <row r="50" spans="1:7" s="13" customFormat="1" ht="13.5" thickBot="1" x14ac:dyDescent="0.3">
      <c r="A50" s="378"/>
      <c r="B50" s="379"/>
      <c r="C50" s="366" t="s">
        <v>114</v>
      </c>
      <c r="D50" s="367"/>
      <c r="E50" s="34"/>
      <c r="F50" s="169" t="s">
        <v>426</v>
      </c>
      <c r="G50" s="34"/>
    </row>
    <row r="51" spans="1:7" s="13" customFormat="1" ht="13.5" thickBot="1" x14ac:dyDescent="0.3">
      <c r="A51" s="378"/>
      <c r="B51" s="379"/>
      <c r="C51" s="352" t="s">
        <v>115</v>
      </c>
      <c r="D51" s="353"/>
      <c r="E51" s="34"/>
      <c r="F51" s="174" t="s">
        <v>493</v>
      </c>
      <c r="G51" s="34"/>
    </row>
    <row r="52" spans="1:7" s="13" customFormat="1" x14ac:dyDescent="0.25">
      <c r="A52" s="354" t="s">
        <v>10</v>
      </c>
      <c r="B52" s="356" t="s">
        <v>217</v>
      </c>
      <c r="C52" s="358" t="s">
        <v>116</v>
      </c>
      <c r="D52" s="359"/>
      <c r="E52" s="34"/>
      <c r="F52" s="183">
        <v>5</v>
      </c>
      <c r="G52" s="34"/>
    </row>
    <row r="53" spans="1:7" s="13" customFormat="1" x14ac:dyDescent="0.25">
      <c r="A53" s="362"/>
      <c r="B53" s="363"/>
      <c r="C53" s="364" t="s">
        <v>117</v>
      </c>
      <c r="D53" s="365"/>
      <c r="E53" s="34"/>
      <c r="F53" s="169" t="s">
        <v>494</v>
      </c>
      <c r="G53" s="34"/>
    </row>
    <row r="54" spans="1:7" s="13" customFormat="1" ht="26.25" thickBot="1" x14ac:dyDescent="0.3">
      <c r="A54" s="362"/>
      <c r="B54" s="363"/>
      <c r="C54" s="360" t="s">
        <v>71</v>
      </c>
      <c r="D54" s="361"/>
      <c r="E54" s="34"/>
      <c r="F54" s="171" t="s">
        <v>495</v>
      </c>
      <c r="G54" s="34"/>
    </row>
    <row r="55" spans="1:7" s="13" customFormat="1" ht="77.099999999999994" customHeight="1" thickBot="1" x14ac:dyDescent="0.3">
      <c r="A55" s="51" t="s">
        <v>9</v>
      </c>
      <c r="B55" s="28" t="s">
        <v>256</v>
      </c>
      <c r="C55" s="366"/>
      <c r="D55" s="367"/>
      <c r="E55" s="34"/>
      <c r="F55" s="183"/>
      <c r="G55" s="34"/>
    </row>
    <row r="56" spans="1:7" s="13" customFormat="1" ht="27.95" customHeight="1" thickBot="1" x14ac:dyDescent="0.3">
      <c r="A56" s="50" t="s">
        <v>255</v>
      </c>
      <c r="B56" s="28" t="s">
        <v>254</v>
      </c>
      <c r="C56" s="368"/>
      <c r="D56" s="369"/>
      <c r="E56" s="35"/>
      <c r="F56" s="186"/>
      <c r="G56" s="35"/>
    </row>
    <row r="57" spans="1:7" s="13" customFormat="1" x14ac:dyDescent="0.25">
      <c r="A57" s="354" t="s">
        <v>25</v>
      </c>
      <c r="B57" s="356" t="s">
        <v>93</v>
      </c>
      <c r="C57" s="358" t="s">
        <v>72</v>
      </c>
      <c r="D57" s="359"/>
      <c r="E57" s="34"/>
      <c r="F57" s="183" t="s">
        <v>430</v>
      </c>
      <c r="G57" s="34"/>
    </row>
    <row r="58" spans="1:7" s="13" customFormat="1" ht="57.6" customHeight="1" thickBot="1" x14ac:dyDescent="0.3">
      <c r="A58" s="355"/>
      <c r="B58" s="357"/>
      <c r="C58" s="352" t="s">
        <v>73</v>
      </c>
      <c r="D58" s="353"/>
      <c r="E58" s="34"/>
      <c r="F58" s="174">
        <v>240</v>
      </c>
      <c r="G58" s="34"/>
    </row>
    <row r="59" spans="1:7" s="13" customFormat="1" x14ac:dyDescent="0.25">
      <c r="A59" s="354" t="s">
        <v>26</v>
      </c>
      <c r="B59" s="356" t="s">
        <v>253</v>
      </c>
      <c r="C59" s="358" t="s">
        <v>74</v>
      </c>
      <c r="D59" s="359"/>
      <c r="E59" s="34"/>
      <c r="F59" s="183" t="s">
        <v>431</v>
      </c>
      <c r="G59" s="34"/>
    </row>
    <row r="60" spans="1:7" s="13" customFormat="1" x14ac:dyDescent="0.25">
      <c r="A60" s="362"/>
      <c r="B60" s="363"/>
      <c r="C60" s="364" t="s">
        <v>75</v>
      </c>
      <c r="D60" s="365"/>
      <c r="E60" s="34"/>
      <c r="F60" s="169">
        <v>3</v>
      </c>
      <c r="G60" s="34"/>
    </row>
    <row r="61" spans="1:7" s="13" customFormat="1" ht="32.25" customHeight="1" thickBot="1" x14ac:dyDescent="0.3">
      <c r="A61" s="355"/>
      <c r="B61" s="357"/>
      <c r="C61" s="352" t="s">
        <v>252</v>
      </c>
      <c r="D61" s="353"/>
      <c r="E61" s="34"/>
      <c r="F61" s="174">
        <v>700</v>
      </c>
      <c r="G61" s="34"/>
    </row>
    <row r="62" spans="1:7" s="13" customFormat="1" ht="15.95" customHeight="1" thickBot="1" x14ac:dyDescent="0.3">
      <c r="A62" s="50" t="s">
        <v>44</v>
      </c>
      <c r="B62" s="30" t="s">
        <v>45</v>
      </c>
      <c r="C62" s="368"/>
      <c r="D62" s="369"/>
      <c r="E62" s="35"/>
      <c r="F62" s="186"/>
      <c r="G62" s="35"/>
    </row>
    <row r="63" spans="1:7" s="13" customFormat="1" ht="28.5" customHeight="1" thickBot="1" x14ac:dyDescent="0.3">
      <c r="A63" s="50" t="s">
        <v>44</v>
      </c>
      <c r="B63" s="30" t="s">
        <v>63</v>
      </c>
      <c r="C63" s="368"/>
      <c r="D63" s="369"/>
      <c r="E63" s="35"/>
      <c r="F63" s="186"/>
      <c r="G63" s="35"/>
    </row>
    <row r="64" spans="1:7" s="13" customFormat="1" ht="27.95" customHeight="1" thickBot="1" x14ac:dyDescent="0.3">
      <c r="A64" s="50" t="s">
        <v>44</v>
      </c>
      <c r="B64" s="30" t="s">
        <v>64</v>
      </c>
      <c r="C64" s="368"/>
      <c r="D64" s="369"/>
      <c r="E64" s="35"/>
      <c r="F64" s="186"/>
      <c r="G64" s="35"/>
    </row>
    <row r="65" spans="1:7" s="13" customFormat="1" ht="29.45" customHeight="1" thickBot="1" x14ac:dyDescent="0.3">
      <c r="A65" s="50" t="s">
        <v>50</v>
      </c>
      <c r="B65" s="30" t="s">
        <v>216</v>
      </c>
      <c r="C65" s="368"/>
      <c r="D65" s="369"/>
      <c r="E65" s="35"/>
      <c r="F65" s="186"/>
      <c r="G65" s="35"/>
    </row>
    <row r="66" spans="1:7" s="13" customFormat="1" ht="15.6" customHeight="1" thickBot="1" x14ac:dyDescent="0.3">
      <c r="A66" s="50" t="s">
        <v>27</v>
      </c>
      <c r="B66" s="30" t="s">
        <v>215</v>
      </c>
      <c r="C66" s="380" t="s">
        <v>77</v>
      </c>
      <c r="D66" s="381"/>
      <c r="E66" s="34"/>
      <c r="F66" s="184" t="s">
        <v>496</v>
      </c>
      <c r="G66" s="34"/>
    </row>
    <row r="67" spans="1:7" s="13" customFormat="1" ht="51.75" thickBot="1" x14ac:dyDescent="0.3">
      <c r="A67" s="50" t="s">
        <v>214</v>
      </c>
      <c r="B67" s="30" t="s">
        <v>213</v>
      </c>
      <c r="C67" s="380"/>
      <c r="D67" s="381"/>
      <c r="E67" s="34"/>
      <c r="F67" s="184"/>
      <c r="G67" s="34"/>
    </row>
    <row r="68" spans="1:7" s="13" customFormat="1" ht="15" customHeight="1" thickBot="1" x14ac:dyDescent="0.3">
      <c r="A68" s="354" t="s">
        <v>28</v>
      </c>
      <c r="B68" s="356" t="s">
        <v>265</v>
      </c>
      <c r="C68" s="425" t="s">
        <v>250</v>
      </c>
      <c r="D68" s="359"/>
      <c r="E68" s="34"/>
      <c r="F68" s="184" t="s">
        <v>455</v>
      </c>
      <c r="G68" s="34"/>
    </row>
    <row r="69" spans="1:7" s="13" customFormat="1" ht="29.25" customHeight="1" thickBot="1" x14ac:dyDescent="0.3">
      <c r="A69" s="355"/>
      <c r="B69" s="357"/>
      <c r="C69" s="426" t="s">
        <v>249</v>
      </c>
      <c r="D69" s="353"/>
      <c r="E69" s="34"/>
      <c r="F69" s="184" t="s">
        <v>505</v>
      </c>
      <c r="G69" s="34"/>
    </row>
    <row r="70" spans="1:7" s="13" customFormat="1" ht="41.1" customHeight="1" thickBot="1" x14ac:dyDescent="0.3">
      <c r="A70" s="50" t="s">
        <v>51</v>
      </c>
      <c r="B70" s="30" t="s">
        <v>212</v>
      </c>
      <c r="C70" s="368"/>
      <c r="D70" s="369"/>
      <c r="E70" s="35"/>
      <c r="F70" s="184"/>
      <c r="G70" s="35"/>
    </row>
    <row r="71" spans="1:7" s="13" customFormat="1" ht="40.5" customHeight="1" thickBot="1" x14ac:dyDescent="0.3">
      <c r="A71" s="50" t="s">
        <v>54</v>
      </c>
      <c r="B71" s="30" t="s">
        <v>80</v>
      </c>
      <c r="C71" s="368"/>
      <c r="D71" s="369"/>
      <c r="E71" s="35"/>
      <c r="F71" s="184"/>
      <c r="G71" s="35"/>
    </row>
    <row r="72" spans="1:7" s="13" customFormat="1" ht="78" customHeight="1" thickBot="1" x14ac:dyDescent="0.3">
      <c r="A72" s="50" t="s">
        <v>29</v>
      </c>
      <c r="B72" s="30" t="s">
        <v>211</v>
      </c>
      <c r="C72" s="368"/>
      <c r="D72" s="369"/>
      <c r="E72" s="35"/>
      <c r="F72" s="184"/>
      <c r="G72" s="35"/>
    </row>
    <row r="73" spans="1:7" s="13" customFormat="1" ht="53.45" customHeight="1" thickBot="1" x14ac:dyDescent="0.3">
      <c r="A73" s="50" t="s">
        <v>31</v>
      </c>
      <c r="B73" s="30" t="s">
        <v>210</v>
      </c>
      <c r="C73" s="380" t="s">
        <v>30</v>
      </c>
      <c r="D73" s="381"/>
      <c r="E73" s="34"/>
      <c r="F73" s="184" t="s">
        <v>435</v>
      </c>
      <c r="G73" s="34"/>
    </row>
    <row r="74" spans="1:7" s="13" customFormat="1" ht="28.5" customHeight="1" thickBot="1" x14ac:dyDescent="0.3">
      <c r="A74" s="50" t="s">
        <v>55</v>
      </c>
      <c r="B74" s="30" t="s">
        <v>95</v>
      </c>
      <c r="C74" s="368"/>
      <c r="D74" s="369"/>
      <c r="E74" s="35"/>
      <c r="F74" s="184"/>
      <c r="G74" s="35"/>
    </row>
    <row r="75" spans="1:7" s="13" customFormat="1" ht="26.25" thickBot="1" x14ac:dyDescent="0.3">
      <c r="A75" s="50" t="s">
        <v>32</v>
      </c>
      <c r="B75" s="30" t="s">
        <v>96</v>
      </c>
      <c r="C75" s="380" t="s">
        <v>30</v>
      </c>
      <c r="D75" s="381"/>
      <c r="E75" s="34"/>
      <c r="F75" s="184" t="s">
        <v>436</v>
      </c>
      <c r="G75" s="34"/>
    </row>
    <row r="76" spans="1:7" s="13" customFormat="1" ht="39.6" customHeight="1" thickBot="1" x14ac:dyDescent="0.3">
      <c r="A76" s="50" t="s">
        <v>56</v>
      </c>
      <c r="B76" s="30" t="s">
        <v>167</v>
      </c>
      <c r="C76" s="368"/>
      <c r="D76" s="369"/>
      <c r="E76" s="35"/>
      <c r="F76" s="184"/>
      <c r="G76" s="35"/>
    </row>
    <row r="77" spans="1:7" s="13" customFormat="1" ht="27" customHeight="1" thickBot="1" x14ac:dyDescent="0.3">
      <c r="A77" s="50" t="s">
        <v>48</v>
      </c>
      <c r="B77" s="30" t="s">
        <v>47</v>
      </c>
      <c r="C77" s="368"/>
      <c r="D77" s="369"/>
      <c r="E77" s="35"/>
      <c r="F77" s="184"/>
      <c r="G77" s="35"/>
    </row>
    <row r="78" spans="1:7" s="13" customFormat="1" ht="27.6" customHeight="1" thickBot="1" x14ac:dyDescent="0.3">
      <c r="A78" s="50" t="s">
        <v>49</v>
      </c>
      <c r="B78" s="30" t="s">
        <v>103</v>
      </c>
      <c r="C78" s="368"/>
      <c r="D78" s="369"/>
      <c r="E78" s="35"/>
      <c r="F78" s="184"/>
      <c r="G78" s="35"/>
    </row>
    <row r="79" spans="1:7" s="13" customFormat="1" ht="29.45" customHeight="1" thickBot="1" x14ac:dyDescent="0.3">
      <c r="A79" s="50" t="s">
        <v>46</v>
      </c>
      <c r="B79" s="30" t="s">
        <v>484</v>
      </c>
      <c r="C79" s="368"/>
      <c r="D79" s="369"/>
      <c r="E79" s="35"/>
      <c r="F79" s="184"/>
      <c r="G79" s="35"/>
    </row>
    <row r="80" spans="1:7" ht="13.5" thickBot="1" x14ac:dyDescent="0.25"/>
    <row r="81" spans="1:6" s="17" customFormat="1" ht="18" customHeight="1" thickBot="1" x14ac:dyDescent="0.3">
      <c r="A81" s="373" t="s">
        <v>168</v>
      </c>
      <c r="B81" s="374"/>
      <c r="C81" s="374"/>
      <c r="D81" s="375"/>
      <c r="E81" s="38"/>
      <c r="F81" s="181" t="s">
        <v>420</v>
      </c>
    </row>
    <row r="82" spans="1:6" s="3" customFormat="1" ht="15" customHeight="1" thickBot="1" x14ac:dyDescent="0.3">
      <c r="A82" s="382" t="s">
        <v>169</v>
      </c>
      <c r="B82" s="383"/>
      <c r="C82" s="383"/>
      <c r="D82" s="384"/>
      <c r="E82" s="39"/>
      <c r="F82" s="188" t="s">
        <v>19</v>
      </c>
    </row>
    <row r="83" spans="1:6" s="13" customFormat="1" ht="12.75" customHeight="1" x14ac:dyDescent="0.25">
      <c r="A83" s="385" t="s">
        <v>83</v>
      </c>
      <c r="B83" s="386"/>
      <c r="C83" s="386"/>
      <c r="D83" s="387"/>
      <c r="E83" s="35"/>
      <c r="F83" s="189">
        <f>-1337.32*('PPI Adj'!D6)</f>
        <v>-1560.6524400000001</v>
      </c>
    </row>
    <row r="84" spans="1:6" s="13" customFormat="1" ht="12.75" customHeight="1" x14ac:dyDescent="0.25">
      <c r="A84" s="388" t="s">
        <v>34</v>
      </c>
      <c r="B84" s="389"/>
      <c r="C84" s="389"/>
      <c r="D84" s="390"/>
      <c r="E84" s="34"/>
      <c r="F84" s="190">
        <f>544.44*('PPI Adj'!D6)</f>
        <v>635.36148000000003</v>
      </c>
    </row>
    <row r="85" spans="1:6" s="13" customFormat="1" x14ac:dyDescent="0.25">
      <c r="A85" s="388" t="s">
        <v>35</v>
      </c>
      <c r="B85" s="389"/>
      <c r="C85" s="389"/>
      <c r="D85" s="390"/>
      <c r="E85" s="35"/>
      <c r="F85" s="190">
        <f>657.23*('PPI Adj'!D6)</f>
        <v>766.98741000000007</v>
      </c>
    </row>
    <row r="86" spans="1:6" s="13" customFormat="1" x14ac:dyDescent="0.25">
      <c r="A86" s="388" t="s">
        <v>36</v>
      </c>
      <c r="B86" s="389"/>
      <c r="C86" s="389"/>
      <c r="D86" s="390"/>
      <c r="E86" s="34"/>
      <c r="F86" s="190">
        <f>1340.82*('PPI Adj'!D6)</f>
        <v>1564.73694</v>
      </c>
    </row>
    <row r="87" spans="1:6" s="13" customFormat="1" x14ac:dyDescent="0.25">
      <c r="A87" s="388" t="s">
        <v>60</v>
      </c>
      <c r="B87" s="389"/>
      <c r="C87" s="389"/>
      <c r="D87" s="390"/>
      <c r="E87" s="34"/>
      <c r="F87" s="190">
        <f>655.98*('PPI Adj'!D6)</f>
        <v>765.52866000000006</v>
      </c>
    </row>
    <row r="88" spans="1:6" s="13" customFormat="1" x14ac:dyDescent="0.25">
      <c r="A88" s="388" t="s">
        <v>61</v>
      </c>
      <c r="B88" s="389"/>
      <c r="C88" s="389"/>
      <c r="D88" s="390"/>
      <c r="E88" s="34"/>
      <c r="F88" s="190" t="s">
        <v>183</v>
      </c>
    </row>
    <row r="89" spans="1:6" s="13" customFormat="1" ht="12.75" customHeight="1" x14ac:dyDescent="0.25">
      <c r="A89" s="388" t="s">
        <v>86</v>
      </c>
      <c r="B89" s="389"/>
      <c r="C89" s="389"/>
      <c r="D89" s="390"/>
      <c r="E89" s="34"/>
      <c r="F89" s="190">
        <f>1202.76*('PPI Adj'!D6)</f>
        <v>1403.6209200000001</v>
      </c>
    </row>
    <row r="90" spans="1:6" ht="12.75" customHeight="1" x14ac:dyDescent="0.2">
      <c r="A90" s="388" t="s">
        <v>85</v>
      </c>
      <c r="B90" s="389"/>
      <c r="C90" s="389"/>
      <c r="D90" s="390"/>
      <c r="E90" s="34"/>
      <c r="F90" s="190" t="s">
        <v>181</v>
      </c>
    </row>
    <row r="91" spans="1:6" x14ac:dyDescent="0.2">
      <c r="A91" s="388" t="s">
        <v>13</v>
      </c>
      <c r="B91" s="389"/>
      <c r="C91" s="389"/>
      <c r="D91" s="390"/>
      <c r="E91" s="34"/>
      <c r="F91" s="190">
        <f>6533.28*('PPI Adj'!D6)</f>
        <v>7624.3377600000003</v>
      </c>
    </row>
    <row r="92" spans="1:6" ht="12.75" customHeight="1" x14ac:dyDescent="0.2">
      <c r="A92" s="388" t="s">
        <v>37</v>
      </c>
      <c r="B92" s="389"/>
      <c r="C92" s="389"/>
      <c r="D92" s="390"/>
      <c r="E92" s="35"/>
      <c r="F92" s="190">
        <f>97.5*('PPI Adj'!D6)</f>
        <v>113.7825</v>
      </c>
    </row>
    <row r="93" spans="1:6" x14ac:dyDescent="0.2">
      <c r="A93" s="388" t="s">
        <v>38</v>
      </c>
      <c r="B93" s="389"/>
      <c r="C93" s="389"/>
      <c r="D93" s="390"/>
      <c r="E93" s="35"/>
      <c r="F93" s="190">
        <f>397.8*('PPI Adj'!D6)</f>
        <v>464.23260000000005</v>
      </c>
    </row>
    <row r="94" spans="1:6" x14ac:dyDescent="0.2">
      <c r="A94" s="388" t="s">
        <v>201</v>
      </c>
      <c r="B94" s="389"/>
      <c r="C94" s="389"/>
      <c r="D94" s="390"/>
      <c r="E94" s="35"/>
      <c r="F94" s="190" t="s">
        <v>183</v>
      </c>
    </row>
    <row r="95" spans="1:6" x14ac:dyDescent="0.2">
      <c r="A95" s="388" t="s">
        <v>39</v>
      </c>
      <c r="B95" s="389"/>
      <c r="C95" s="389"/>
      <c r="D95" s="390"/>
      <c r="E95" s="34"/>
      <c r="F95" s="190">
        <f>666.12*('PPI Adj'!D6)</f>
        <v>777.36203999999998</v>
      </c>
    </row>
    <row r="96" spans="1:6" ht="12.75" customHeight="1" x14ac:dyDescent="0.2">
      <c r="A96" s="388" t="s">
        <v>88</v>
      </c>
      <c r="B96" s="389"/>
      <c r="C96" s="389"/>
      <c r="D96" s="390"/>
      <c r="E96" s="34"/>
      <c r="F96" s="190">
        <f>3939.22*('PPI Adj'!D6)</f>
        <v>4597.0697399999999</v>
      </c>
    </row>
    <row r="97" spans="1:6" x14ac:dyDescent="0.2">
      <c r="A97" s="388" t="s">
        <v>40</v>
      </c>
      <c r="B97" s="389"/>
      <c r="C97" s="389"/>
      <c r="D97" s="390"/>
      <c r="E97" s="34"/>
      <c r="F97" s="190">
        <f>697.32*('PPI Adj'!D6)</f>
        <v>813.77244000000007</v>
      </c>
    </row>
    <row r="98" spans="1:6" x14ac:dyDescent="0.2">
      <c r="A98" s="388" t="s">
        <v>14</v>
      </c>
      <c r="B98" s="389"/>
      <c r="C98" s="389"/>
      <c r="D98" s="390"/>
      <c r="E98" s="34"/>
      <c r="F98" s="190">
        <f>15124.23*('PPI Adj'!D6)</f>
        <v>17649.976409999999</v>
      </c>
    </row>
    <row r="99" spans="1:6" ht="12.75" customHeight="1" x14ac:dyDescent="0.2">
      <c r="A99" s="388" t="s">
        <v>91</v>
      </c>
      <c r="B99" s="389"/>
      <c r="C99" s="389"/>
      <c r="D99" s="390"/>
      <c r="E99" s="34"/>
      <c r="F99" s="190">
        <f>1800*('PPI Adj'!D6)</f>
        <v>2100.6</v>
      </c>
    </row>
    <row r="100" spans="1:6" x14ac:dyDescent="0.2">
      <c r="A100" s="394" t="s">
        <v>275</v>
      </c>
      <c r="B100" s="395"/>
      <c r="C100" s="395"/>
      <c r="D100" s="396"/>
      <c r="E100" s="34"/>
      <c r="F100" s="200">
        <f>-413.21*('PPI Adj'!D6)</f>
        <v>-482.21607</v>
      </c>
    </row>
    <row r="101" spans="1:6" ht="13.5" customHeight="1" thickBot="1" x14ac:dyDescent="0.25">
      <c r="A101" s="391" t="s">
        <v>92</v>
      </c>
      <c r="B101" s="392"/>
      <c r="C101" s="392"/>
      <c r="D101" s="393"/>
      <c r="E101" s="35"/>
      <c r="F101" s="191">
        <f>1013.03*('PPI Adj'!D6)</f>
        <v>1182.2060100000001</v>
      </c>
    </row>
    <row r="102" spans="1:6" ht="13.5" thickBot="1" x14ac:dyDescent="0.25"/>
    <row r="103" spans="1:6" s="17" customFormat="1" ht="18" customHeight="1" thickBot="1" x14ac:dyDescent="0.3">
      <c r="A103" s="373" t="s">
        <v>166</v>
      </c>
      <c r="B103" s="374"/>
      <c r="C103" s="374"/>
      <c r="D103" s="375"/>
      <c r="E103" s="38"/>
      <c r="F103" s="181" t="s">
        <v>420</v>
      </c>
    </row>
    <row r="104" spans="1:6" s="3" customFormat="1" ht="15" customHeight="1" thickBot="1" x14ac:dyDescent="0.3">
      <c r="A104" s="52" t="s">
        <v>33</v>
      </c>
      <c r="B104" s="24" t="s">
        <v>7</v>
      </c>
      <c r="C104" s="397" t="s">
        <v>165</v>
      </c>
      <c r="D104" s="398"/>
      <c r="E104" s="39"/>
      <c r="F104" s="188" t="s">
        <v>19</v>
      </c>
    </row>
    <row r="105" spans="1:6" s="13" customFormat="1" ht="41.1" customHeight="1" thickBot="1" x14ac:dyDescent="0.3">
      <c r="A105" s="53" t="s">
        <v>83</v>
      </c>
      <c r="B105" s="23" t="s">
        <v>146</v>
      </c>
      <c r="C105" s="399"/>
      <c r="D105" s="400"/>
      <c r="E105" s="35"/>
      <c r="F105" s="184" t="s">
        <v>507</v>
      </c>
    </row>
    <row r="106" spans="1:6" s="13" customFormat="1" ht="26.25" thickBot="1" x14ac:dyDescent="0.3">
      <c r="A106" s="50" t="s">
        <v>34</v>
      </c>
      <c r="B106" s="30" t="s">
        <v>107</v>
      </c>
      <c r="C106" s="380" t="s">
        <v>30</v>
      </c>
      <c r="D106" s="381"/>
      <c r="E106" s="34"/>
      <c r="F106" s="184" t="s">
        <v>439</v>
      </c>
    </row>
    <row r="107" spans="1:6" s="13" customFormat="1" ht="56.1" customHeight="1" thickBot="1" x14ac:dyDescent="0.3">
      <c r="A107" s="50" t="s">
        <v>35</v>
      </c>
      <c r="B107" s="30" t="s">
        <v>97</v>
      </c>
      <c r="C107" s="368"/>
      <c r="D107" s="369"/>
      <c r="E107" s="35"/>
      <c r="F107" s="184"/>
    </row>
    <row r="108" spans="1:6" s="13" customFormat="1" ht="27.95" customHeight="1" thickBot="1" x14ac:dyDescent="0.3">
      <c r="A108" s="50" t="s">
        <v>36</v>
      </c>
      <c r="B108" s="30" t="s">
        <v>84</v>
      </c>
      <c r="C108" s="380" t="s">
        <v>99</v>
      </c>
      <c r="D108" s="381"/>
      <c r="E108" s="34"/>
      <c r="F108" s="184" t="s">
        <v>441</v>
      </c>
    </row>
    <row r="109" spans="1:6" s="13" customFormat="1" ht="12.75" customHeight="1" x14ac:dyDescent="0.25">
      <c r="A109" s="354" t="s">
        <v>60</v>
      </c>
      <c r="B109" s="356" t="s">
        <v>133</v>
      </c>
      <c r="C109" s="358" t="s">
        <v>203</v>
      </c>
      <c r="D109" s="359"/>
      <c r="E109" s="34"/>
      <c r="F109" s="183" t="s">
        <v>278</v>
      </c>
    </row>
    <row r="110" spans="1:6" s="13" customFormat="1" x14ac:dyDescent="0.25">
      <c r="A110" s="362"/>
      <c r="B110" s="363"/>
      <c r="C110" s="364" t="s">
        <v>202</v>
      </c>
      <c r="D110" s="365"/>
      <c r="E110" s="34"/>
      <c r="F110" s="169">
        <v>6005</v>
      </c>
    </row>
    <row r="111" spans="1:6" s="13" customFormat="1" x14ac:dyDescent="0.25">
      <c r="A111" s="362"/>
      <c r="B111" s="363"/>
      <c r="C111" s="364" t="s">
        <v>114</v>
      </c>
      <c r="D111" s="365"/>
      <c r="E111" s="34"/>
      <c r="F111" s="169" t="s">
        <v>442</v>
      </c>
    </row>
    <row r="112" spans="1:6" s="13" customFormat="1" ht="30.75" customHeight="1" thickBot="1" x14ac:dyDescent="0.3">
      <c r="A112" s="355"/>
      <c r="B112" s="357"/>
      <c r="C112" s="352" t="s">
        <v>115</v>
      </c>
      <c r="D112" s="353"/>
      <c r="E112" s="34"/>
      <c r="F112" s="174" t="s">
        <v>443</v>
      </c>
    </row>
    <row r="113" spans="1:6" s="13" customFormat="1" ht="12.75" customHeight="1" x14ac:dyDescent="0.25">
      <c r="A113" s="354" t="s">
        <v>61</v>
      </c>
      <c r="B113" s="356" t="s">
        <v>206</v>
      </c>
      <c r="C113" s="358" t="s">
        <v>205</v>
      </c>
      <c r="D113" s="359"/>
      <c r="E113" s="34"/>
      <c r="F113" s="183"/>
    </row>
    <row r="114" spans="1:6" s="13" customFormat="1" x14ac:dyDescent="0.25">
      <c r="A114" s="362"/>
      <c r="B114" s="363"/>
      <c r="C114" s="364" t="s">
        <v>204</v>
      </c>
      <c r="D114" s="365"/>
      <c r="E114" s="34"/>
      <c r="F114" s="185"/>
    </row>
    <row r="115" spans="1:6" s="13" customFormat="1" x14ac:dyDescent="0.25">
      <c r="A115" s="362"/>
      <c r="B115" s="363"/>
      <c r="C115" s="364" t="s">
        <v>203</v>
      </c>
      <c r="D115" s="365"/>
      <c r="E115" s="34"/>
      <c r="F115" s="185"/>
    </row>
    <row r="116" spans="1:6" s="13" customFormat="1" x14ac:dyDescent="0.25">
      <c r="A116" s="362"/>
      <c r="B116" s="363"/>
      <c r="C116" s="364" t="s">
        <v>202</v>
      </c>
      <c r="D116" s="365"/>
      <c r="E116" s="34"/>
      <c r="F116" s="169"/>
    </row>
    <row r="117" spans="1:6" s="13" customFormat="1" x14ac:dyDescent="0.25">
      <c r="A117" s="362"/>
      <c r="B117" s="363"/>
      <c r="C117" s="364" t="s">
        <v>112</v>
      </c>
      <c r="D117" s="365"/>
      <c r="E117" s="34"/>
      <c r="F117" s="169"/>
    </row>
    <row r="118" spans="1:6" s="13" customFormat="1" x14ac:dyDescent="0.25">
      <c r="A118" s="362"/>
      <c r="B118" s="363"/>
      <c r="C118" s="364" t="s">
        <v>113</v>
      </c>
      <c r="D118" s="365"/>
      <c r="E118" s="34"/>
      <c r="F118" s="185"/>
    </row>
    <row r="119" spans="1:6" s="13" customFormat="1" x14ac:dyDescent="0.25">
      <c r="A119" s="362"/>
      <c r="B119" s="363"/>
      <c r="C119" s="364" t="s">
        <v>114</v>
      </c>
      <c r="D119" s="365"/>
      <c r="E119" s="34"/>
      <c r="F119" s="185"/>
    </row>
    <row r="120" spans="1:6" s="13" customFormat="1" ht="13.5" thickBot="1" x14ac:dyDescent="0.3">
      <c r="A120" s="355"/>
      <c r="B120" s="357"/>
      <c r="C120" s="352" t="s">
        <v>115</v>
      </c>
      <c r="D120" s="353"/>
      <c r="E120" s="34"/>
      <c r="F120" s="174"/>
    </row>
    <row r="121" spans="1:6" s="13" customFormat="1" ht="143.44999999999999" customHeight="1" thickBot="1" x14ac:dyDescent="0.3">
      <c r="A121" s="54" t="s">
        <v>86</v>
      </c>
      <c r="B121" s="18" t="s">
        <v>143</v>
      </c>
      <c r="C121" s="380" t="s">
        <v>104</v>
      </c>
      <c r="D121" s="381"/>
      <c r="E121" s="34"/>
      <c r="F121" s="183" t="s">
        <v>444</v>
      </c>
    </row>
    <row r="122" spans="1:6" ht="168.95" customHeight="1" thickBot="1" x14ac:dyDescent="0.25">
      <c r="A122" s="50" t="s">
        <v>85</v>
      </c>
      <c r="B122" s="14" t="s">
        <v>170</v>
      </c>
      <c r="C122" s="380" t="s">
        <v>104</v>
      </c>
      <c r="D122" s="381"/>
      <c r="E122" s="34"/>
      <c r="F122" s="184" t="s">
        <v>181</v>
      </c>
    </row>
    <row r="123" spans="1:6" x14ac:dyDescent="0.2">
      <c r="A123" s="354" t="s">
        <v>13</v>
      </c>
      <c r="B123" s="356" t="s">
        <v>98</v>
      </c>
      <c r="C123" s="358" t="s">
        <v>30</v>
      </c>
      <c r="D123" s="359"/>
      <c r="E123" s="34"/>
      <c r="F123" s="183" t="s">
        <v>446</v>
      </c>
    </row>
    <row r="124" spans="1:6" ht="30.6" customHeight="1" thickBot="1" x14ac:dyDescent="0.25">
      <c r="A124" s="355"/>
      <c r="B124" s="357"/>
      <c r="C124" s="352" t="s">
        <v>109</v>
      </c>
      <c r="D124" s="353"/>
      <c r="E124" s="34"/>
      <c r="F124" s="174">
        <v>1000</v>
      </c>
    </row>
    <row r="125" spans="1:6" ht="66" customHeight="1" thickBot="1" x14ac:dyDescent="0.25">
      <c r="A125" s="50" t="s">
        <v>37</v>
      </c>
      <c r="B125" s="30" t="s">
        <v>135</v>
      </c>
      <c r="C125" s="368"/>
      <c r="D125" s="369"/>
      <c r="E125" s="35"/>
      <c r="F125" s="184" t="s">
        <v>447</v>
      </c>
    </row>
    <row r="126" spans="1:6" ht="42.95" customHeight="1" thickBot="1" x14ac:dyDescent="0.25">
      <c r="A126" s="50" t="s">
        <v>38</v>
      </c>
      <c r="B126" s="30" t="s">
        <v>87</v>
      </c>
      <c r="C126" s="368"/>
      <c r="D126" s="369"/>
      <c r="E126" s="35"/>
      <c r="F126" s="184"/>
    </row>
    <row r="127" spans="1:6" ht="17.100000000000001" customHeight="1" thickBot="1" x14ac:dyDescent="0.25">
      <c r="A127" s="50" t="s">
        <v>201</v>
      </c>
      <c r="B127" s="30" t="s">
        <v>200</v>
      </c>
      <c r="C127" s="380"/>
      <c r="D127" s="381"/>
      <c r="E127" s="34"/>
      <c r="F127" s="184"/>
    </row>
    <row r="128" spans="1:6" ht="29.45" customHeight="1" thickBot="1" x14ac:dyDescent="0.25">
      <c r="A128" s="50" t="s">
        <v>39</v>
      </c>
      <c r="B128" s="30" t="s">
        <v>106</v>
      </c>
      <c r="C128" s="380" t="s">
        <v>105</v>
      </c>
      <c r="D128" s="381"/>
      <c r="E128" s="34"/>
      <c r="F128" s="184" t="s">
        <v>499</v>
      </c>
    </row>
    <row r="129" spans="1:6" x14ac:dyDescent="0.2">
      <c r="A129" s="354" t="s">
        <v>88</v>
      </c>
      <c r="B129" s="356" t="s">
        <v>148</v>
      </c>
      <c r="C129" s="358" t="s">
        <v>100</v>
      </c>
      <c r="D129" s="359"/>
      <c r="E129" s="34"/>
      <c r="F129" s="183" t="s">
        <v>448</v>
      </c>
    </row>
    <row r="130" spans="1:6" ht="108" customHeight="1" thickBot="1" x14ac:dyDescent="0.25">
      <c r="A130" s="355"/>
      <c r="B130" s="357"/>
      <c r="C130" s="352" t="s">
        <v>110</v>
      </c>
      <c r="D130" s="353"/>
      <c r="E130" s="34"/>
      <c r="F130" s="201" t="s">
        <v>449</v>
      </c>
    </row>
    <row r="131" spans="1:6" ht="51.75" thickBot="1" x14ac:dyDescent="0.25">
      <c r="A131" s="50" t="s">
        <v>40</v>
      </c>
      <c r="B131" s="30" t="s">
        <v>137</v>
      </c>
      <c r="C131" s="380" t="s">
        <v>100</v>
      </c>
      <c r="D131" s="381"/>
      <c r="E131" s="34"/>
      <c r="F131" s="174" t="s">
        <v>508</v>
      </c>
    </row>
    <row r="132" spans="1:6" ht="54.6" customHeight="1" thickBot="1" x14ac:dyDescent="0.25">
      <c r="A132" s="50" t="s">
        <v>14</v>
      </c>
      <c r="B132" s="30" t="s">
        <v>138</v>
      </c>
      <c r="C132" s="380" t="s">
        <v>139</v>
      </c>
      <c r="D132" s="381"/>
      <c r="E132" s="34"/>
      <c r="F132" s="184">
        <v>2</v>
      </c>
    </row>
    <row r="133" spans="1:6" ht="65.45" customHeight="1" thickBot="1" x14ac:dyDescent="0.25">
      <c r="A133" s="50" t="s">
        <v>91</v>
      </c>
      <c r="B133" s="30" t="s">
        <v>144</v>
      </c>
      <c r="C133" s="380" t="s">
        <v>100</v>
      </c>
      <c r="D133" s="381"/>
      <c r="E133" s="34"/>
      <c r="F133" s="184" t="s">
        <v>359</v>
      </c>
    </row>
    <row r="134" spans="1:6" ht="67.5" customHeight="1" thickBot="1" x14ac:dyDescent="0.25">
      <c r="A134" s="50" t="s">
        <v>92</v>
      </c>
      <c r="B134" s="30" t="s">
        <v>145</v>
      </c>
      <c r="C134" s="368"/>
      <c r="D134" s="369"/>
      <c r="E134" s="35"/>
      <c r="F134" s="184"/>
    </row>
  </sheetData>
  <sheetProtection algorithmName="SHA-512" hashValue="WxGwLD1qFirtyINWLMDHALIqdDyp0Qufp8u4Hi+5gyD/ZBx8Tgq4xZGIkMkbZwrGKmFbRuUpoIxYysoIsc6PTg==" saltValue="1VjK5/zjGCJZZBNwjuJmOA==" spinCount="100000" sheet="1" objects="1" scenarios="1"/>
  <dataConsolidate/>
  <mergeCells count="153">
    <mergeCell ref="C26:D26"/>
    <mergeCell ref="A27:A28"/>
    <mergeCell ref="B27:B28"/>
    <mergeCell ref="C27:D27"/>
    <mergeCell ref="B13:D13"/>
    <mergeCell ref="B14:D14"/>
    <mergeCell ref="B15:D15"/>
    <mergeCell ref="B16:D16"/>
    <mergeCell ref="B17:D17"/>
    <mergeCell ref="A19:D19"/>
    <mergeCell ref="B21:D21"/>
    <mergeCell ref="B22:D22"/>
    <mergeCell ref="A24:D24"/>
    <mergeCell ref="C28:D28"/>
    <mergeCell ref="B9:D9"/>
    <mergeCell ref="B10:D10"/>
    <mergeCell ref="B11:D11"/>
    <mergeCell ref="B12:D12"/>
    <mergeCell ref="A3:D3"/>
    <mergeCell ref="A4:D4"/>
    <mergeCell ref="A6:D6"/>
    <mergeCell ref="B8:D8"/>
    <mergeCell ref="C25:D25"/>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50" priority="59">
      <formula>#REF!="NO"</formula>
    </cfRule>
  </conditionalFormatting>
  <conditionalFormatting sqref="C40:D42">
    <cfRule type="expression" dxfId="49" priority="14">
      <formula>$F$2="NO"</formula>
    </cfRule>
  </conditionalFormatting>
  <conditionalFormatting sqref="C26:E39">
    <cfRule type="expression" dxfId="48" priority="60">
      <formula>#REF!="NO"</formula>
    </cfRule>
  </conditionalFormatting>
  <conditionalFormatting sqref="C43:E79">
    <cfRule type="expression" dxfId="47" priority="13">
      <formula>#REF!="NO"</formula>
    </cfRule>
  </conditionalFormatting>
  <conditionalFormatting sqref="C105:F134">
    <cfRule type="expression" dxfId="46" priority="19">
      <formula>#REF!="NO"</formula>
    </cfRule>
  </conditionalFormatting>
  <conditionalFormatting sqref="E40:E42">
    <cfRule type="expression" dxfId="45" priority="18">
      <formula>#REF!="NO"</formula>
    </cfRule>
  </conditionalFormatting>
  <conditionalFormatting sqref="E83:F101">
    <cfRule type="expression" dxfId="44" priority="1">
      <formula>#REF!="NO"</formula>
    </cfRule>
  </conditionalFormatting>
  <conditionalFormatting sqref="F8:F17">
    <cfRule type="expression" dxfId="43" priority="56">
      <formula>#REF!="NO"</formula>
    </cfRule>
  </conditionalFormatting>
  <conditionalFormatting sqref="F21:F22">
    <cfRule type="expression" dxfId="42" priority="57">
      <formula>#REF!="NO"</formula>
    </cfRule>
  </conditionalFormatting>
  <conditionalFormatting sqref="F26:G79">
    <cfRule type="expression" dxfId="41" priority="11">
      <formula>#REF!="NO"</formula>
    </cfRule>
  </conditionalFormatting>
  <dataValidations count="3">
    <dataValidation type="decimal" operator="greaterThanOrEqual" allowBlank="1" showInputMessage="1" showErrorMessage="1" error="The Pickup Allowance cannot be a negative number." sqref="F16" xr:uid="{00000000-0002-0000-0C00-000002000000}">
      <formula1>0</formula1>
    </dataValidation>
    <dataValidation type="decimal" allowBlank="1" showInputMessage="1" showErrorMessage="1" error="Invalid Entry - Bidder must enter a value that is greater than $0" sqref="F21" xr:uid="{00000000-0002-0000-0C00-000001000000}">
      <formula1>0</formula1>
      <formula2>9E+21</formula2>
    </dataValidation>
    <dataValidation type="decimal" allowBlank="1" showInputMessage="1" showErrorMessage="1" error="The Additional Options NYS Discount entered must be greater than 0%, or less than or equal to 100%." sqref="F22" xr:uid="{00000000-0002-0000-0C00-000000000000}">
      <formula1>0.01</formula1>
      <formula2>100</formula2>
    </dataValidation>
  </dataValidations>
  <pageMargins left="0.25" right="0.25" top="0.5" bottom="0.25" header="0.3" footer="0.3"/>
  <pageSetup scale="93" fitToHeight="0" orientation="landscape" r:id="rId1"/>
  <rowBreaks count="3" manualBreakCount="3">
    <brk id="28" max="7" man="1"/>
    <brk id="75" max="7" man="1"/>
    <brk id="108"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6FA1-060F-4600-9B5E-CAA4C2461D3F}">
  <sheetPr>
    <tabColor theme="8" tint="0.59999389629810485"/>
    <pageSetUpPr fitToPage="1"/>
  </sheetPr>
  <dimension ref="A1:G127"/>
  <sheetViews>
    <sheetView showGridLines="0" zoomScaleNormal="100" zoomScaleSheetLayoutView="100" workbookViewId="0">
      <selection activeCell="A3" sqref="A3:D3"/>
    </sheetView>
  </sheetViews>
  <sheetFormatPr defaultColWidth="9.140625" defaultRowHeight="15" x14ac:dyDescent="0.25"/>
  <cols>
    <col min="1" max="1" width="19.140625" style="87" customWidth="1"/>
    <col min="2" max="2" width="62.85546875" style="87" customWidth="1"/>
    <col min="3" max="3" width="14.7109375" style="87" customWidth="1"/>
    <col min="4" max="4" width="20.7109375" style="87" customWidth="1"/>
    <col min="5" max="5" width="8" style="87" customWidth="1"/>
    <col min="6" max="6" width="20.7109375" style="301" customWidth="1"/>
  </cols>
  <sheetData>
    <row r="1" spans="1:7" x14ac:dyDescent="0.25">
      <c r="A1" s="165" t="str">
        <f>'A (Item 2-G)'!$A$1</f>
        <v>GROUP 40524-23254, SCHOOL BUSES (Statewide)                                                             Attachment 1 - Specifications and Pricing (Revised October 15, 2026)</v>
      </c>
    </row>
    <row r="2" spans="1:7" ht="15.75" thickBot="1" x14ac:dyDescent="0.3">
      <c r="A2" s="320" t="str">
        <f>'Attachment 1 - Summary'!B2</f>
        <v>PC69864 New York Bus Sales, LLC</v>
      </c>
      <c r="B2" s="131"/>
      <c r="C2" s="131"/>
      <c r="D2" s="131"/>
      <c r="E2" s="131"/>
      <c r="F2" s="317"/>
    </row>
    <row r="3" spans="1:7" ht="24" thickBot="1" x14ac:dyDescent="0.3">
      <c r="A3" s="453" t="s">
        <v>543</v>
      </c>
      <c r="B3" s="454"/>
      <c r="C3" s="454"/>
      <c r="D3" s="455"/>
      <c r="E3" s="133"/>
    </row>
    <row r="4" spans="1:7" ht="46.5" customHeight="1" thickBot="1" x14ac:dyDescent="0.3">
      <c r="A4" s="497" t="s">
        <v>511</v>
      </c>
      <c r="B4" s="498"/>
      <c r="C4" s="498"/>
      <c r="D4" s="499"/>
      <c r="E4" s="133"/>
      <c r="F4" s="318"/>
      <c r="G4" s="130"/>
    </row>
    <row r="5" spans="1:7" ht="15.75" thickBot="1" x14ac:dyDescent="0.3">
      <c r="A5" s="288"/>
      <c r="B5" s="289"/>
      <c r="C5" s="289"/>
      <c r="D5" s="289"/>
      <c r="E5" s="289"/>
      <c r="F5" s="319"/>
    </row>
    <row r="6" spans="1:7" ht="16.5" thickBot="1" x14ac:dyDescent="0.3">
      <c r="A6" s="494" t="s">
        <v>151</v>
      </c>
      <c r="B6" s="495"/>
      <c r="C6" s="495"/>
      <c r="D6" s="496"/>
      <c r="E6" s="117"/>
      <c r="F6" s="290" t="s">
        <v>420</v>
      </c>
      <c r="G6" s="129"/>
    </row>
    <row r="7" spans="1:7" ht="15.75" thickBot="1" x14ac:dyDescent="0.3">
      <c r="A7" s="128" t="s">
        <v>6</v>
      </c>
      <c r="B7" s="127" t="s">
        <v>165</v>
      </c>
      <c r="C7" s="126"/>
      <c r="D7" s="125"/>
      <c r="E7" s="124"/>
      <c r="F7" s="291" t="s">
        <v>184</v>
      </c>
    </row>
    <row r="8" spans="1:7" ht="96" customHeight="1" thickTop="1" thickBot="1" x14ac:dyDescent="0.3">
      <c r="A8" s="123" t="s">
        <v>9</v>
      </c>
      <c r="B8" s="500" t="s">
        <v>152</v>
      </c>
      <c r="C8" s="501"/>
      <c r="D8" s="502"/>
      <c r="E8" s="111"/>
      <c r="F8" s="292" t="s">
        <v>465</v>
      </c>
    </row>
    <row r="9" spans="1:7" ht="44.25" customHeight="1" thickTop="1" thickBot="1" x14ac:dyDescent="0.3">
      <c r="A9" s="123" t="s">
        <v>136</v>
      </c>
      <c r="B9" s="500" t="s">
        <v>191</v>
      </c>
      <c r="C9" s="501"/>
      <c r="D9" s="502"/>
      <c r="E9" s="111"/>
      <c r="F9" s="292" t="s">
        <v>513</v>
      </c>
    </row>
    <row r="10" spans="1:7" ht="15.75" thickTop="1" x14ac:dyDescent="0.25">
      <c r="A10" s="121" t="s">
        <v>0</v>
      </c>
      <c r="B10" s="509" t="s">
        <v>154</v>
      </c>
      <c r="C10" s="510"/>
      <c r="D10" s="511"/>
      <c r="E10" s="111"/>
      <c r="F10" s="293" t="s">
        <v>420</v>
      </c>
    </row>
    <row r="11" spans="1:7" x14ac:dyDescent="0.25">
      <c r="A11" s="121" t="s">
        <v>1</v>
      </c>
      <c r="B11" s="509" t="s">
        <v>153</v>
      </c>
      <c r="C11" s="510"/>
      <c r="D11" s="511"/>
      <c r="E11" s="111"/>
      <c r="F11" s="293" t="s">
        <v>486</v>
      </c>
    </row>
    <row r="12" spans="1:7" ht="15.75" customHeight="1" thickBot="1" x14ac:dyDescent="0.3">
      <c r="A12" s="122" t="s">
        <v>2</v>
      </c>
      <c r="B12" s="491" t="s">
        <v>155</v>
      </c>
      <c r="C12" s="492"/>
      <c r="D12" s="493"/>
      <c r="E12" s="111"/>
      <c r="F12" s="294">
        <v>3802</v>
      </c>
    </row>
    <row r="13" spans="1:7" ht="15.75" thickTop="1" x14ac:dyDescent="0.25">
      <c r="A13" s="121" t="s">
        <v>3</v>
      </c>
      <c r="B13" s="509" t="s">
        <v>157</v>
      </c>
      <c r="C13" s="510"/>
      <c r="D13" s="511"/>
      <c r="E13" s="111"/>
      <c r="F13" s="293" t="s">
        <v>420</v>
      </c>
    </row>
    <row r="14" spans="1:7" x14ac:dyDescent="0.25">
      <c r="A14" s="121" t="s">
        <v>4</v>
      </c>
      <c r="B14" s="509" t="s">
        <v>156</v>
      </c>
      <c r="C14" s="510"/>
      <c r="D14" s="511"/>
      <c r="E14" s="111"/>
      <c r="F14" s="293" t="s">
        <v>475</v>
      </c>
    </row>
    <row r="15" spans="1:7" ht="13.5" customHeight="1" thickBot="1" x14ac:dyDescent="0.3">
      <c r="A15" s="120" t="s">
        <v>5</v>
      </c>
      <c r="B15" s="491" t="s">
        <v>158</v>
      </c>
      <c r="C15" s="492"/>
      <c r="D15" s="493"/>
      <c r="E15" s="111"/>
      <c r="F15" s="295">
        <v>3802</v>
      </c>
    </row>
    <row r="16" spans="1:7" ht="30.75" customHeight="1" thickTop="1" x14ac:dyDescent="0.25">
      <c r="A16" s="121" t="s">
        <v>101</v>
      </c>
      <c r="B16" s="488" t="s">
        <v>160</v>
      </c>
      <c r="C16" s="489"/>
      <c r="D16" s="490"/>
      <c r="E16" s="111"/>
      <c r="F16" s="296">
        <v>100</v>
      </c>
    </row>
    <row r="17" spans="1:6" ht="31.5" customHeight="1" thickBot="1" x14ac:dyDescent="0.3">
      <c r="A17" s="120" t="s">
        <v>43</v>
      </c>
      <c r="B17" s="491" t="s">
        <v>159</v>
      </c>
      <c r="C17" s="492"/>
      <c r="D17" s="493"/>
      <c r="E17" s="111"/>
      <c r="F17" s="295" t="s">
        <v>399</v>
      </c>
    </row>
    <row r="18" spans="1:6" ht="16.5" thickTop="1" thickBot="1" x14ac:dyDescent="0.3">
      <c r="A18" s="119"/>
      <c r="B18" s="119"/>
      <c r="C18" s="118"/>
      <c r="D18" s="118"/>
      <c r="E18" s="118"/>
      <c r="F18" s="297"/>
    </row>
    <row r="19" spans="1:6" ht="16.5" thickBot="1" x14ac:dyDescent="0.3">
      <c r="A19" s="494" t="s">
        <v>150</v>
      </c>
      <c r="B19" s="495"/>
      <c r="C19" s="495"/>
      <c r="D19" s="496"/>
      <c r="E19" s="117"/>
      <c r="F19" s="290" t="s">
        <v>420</v>
      </c>
    </row>
    <row r="20" spans="1:6" ht="15.75" thickBot="1" x14ac:dyDescent="0.3">
      <c r="A20" s="106" t="s">
        <v>6</v>
      </c>
      <c r="B20" s="116" t="s">
        <v>165</v>
      </c>
      <c r="C20" s="115"/>
      <c r="D20" s="114"/>
      <c r="E20" s="113"/>
      <c r="F20" s="298" t="s">
        <v>184</v>
      </c>
    </row>
    <row r="21" spans="1:6" ht="71.25" customHeight="1" x14ac:dyDescent="0.25">
      <c r="A21" s="112" t="s">
        <v>42</v>
      </c>
      <c r="B21" s="503" t="s">
        <v>161</v>
      </c>
      <c r="C21" s="504"/>
      <c r="D21" s="505"/>
      <c r="E21" s="111"/>
      <c r="F21" s="299">
        <f>421000*('PPI Adj'!D6)</f>
        <v>491307</v>
      </c>
    </row>
    <row r="22" spans="1:6" ht="30.75" customHeight="1" thickBot="1" x14ac:dyDescent="0.3">
      <c r="A22" s="110" t="s">
        <v>41</v>
      </c>
      <c r="B22" s="506" t="s">
        <v>163</v>
      </c>
      <c r="C22" s="507"/>
      <c r="D22" s="508"/>
      <c r="E22" s="109"/>
      <c r="F22" s="300">
        <v>22</v>
      </c>
    </row>
    <row r="23" spans="1:6" ht="15.75" thickBot="1" x14ac:dyDescent="0.3">
      <c r="A23" s="108"/>
      <c r="B23" s="107"/>
      <c r="C23" s="107"/>
      <c r="D23" s="107"/>
      <c r="E23" s="107"/>
    </row>
    <row r="24" spans="1:6" ht="16.5" thickBot="1" x14ac:dyDescent="0.3">
      <c r="A24" s="479" t="s">
        <v>164</v>
      </c>
      <c r="B24" s="480"/>
      <c r="C24" s="480"/>
      <c r="D24" s="481"/>
      <c r="E24" s="100"/>
      <c r="F24" s="290" t="s">
        <v>420</v>
      </c>
    </row>
    <row r="25" spans="1:6" ht="15.75" thickBot="1" x14ac:dyDescent="0.3">
      <c r="A25" s="106" t="s">
        <v>6</v>
      </c>
      <c r="B25" s="105" t="s">
        <v>7</v>
      </c>
      <c r="C25" s="512" t="s">
        <v>165</v>
      </c>
      <c r="D25" s="513"/>
      <c r="E25" s="104"/>
      <c r="F25" s="298" t="s">
        <v>184</v>
      </c>
    </row>
    <row r="26" spans="1:6" ht="64.5" customHeight="1" thickBot="1" x14ac:dyDescent="0.3">
      <c r="A26" s="103" t="s">
        <v>8</v>
      </c>
      <c r="B26" s="89" t="s">
        <v>485</v>
      </c>
      <c r="C26" s="469" t="s">
        <v>118</v>
      </c>
      <c r="D26" s="470"/>
      <c r="E26" s="102"/>
      <c r="F26" s="302">
        <v>33000</v>
      </c>
    </row>
    <row r="27" spans="1:6" x14ac:dyDescent="0.25">
      <c r="A27" s="463" t="s">
        <v>21</v>
      </c>
      <c r="B27" s="465" t="s">
        <v>512</v>
      </c>
      <c r="C27" s="467" t="s">
        <v>67</v>
      </c>
      <c r="D27" s="468"/>
      <c r="E27" s="102"/>
      <c r="F27" s="303">
        <v>12</v>
      </c>
    </row>
    <row r="28" spans="1:6" ht="15.75" thickBot="1" x14ac:dyDescent="0.3">
      <c r="A28" s="464"/>
      <c r="B28" s="466"/>
      <c r="C28" s="469" t="s">
        <v>68</v>
      </c>
      <c r="D28" s="470"/>
      <c r="E28" s="102"/>
      <c r="F28" s="302">
        <v>65</v>
      </c>
    </row>
    <row r="29" spans="1:6" ht="15.75" thickBot="1" x14ac:dyDescent="0.3">
      <c r="A29" s="90" t="s">
        <v>123</v>
      </c>
      <c r="B29" s="89" t="s">
        <v>108</v>
      </c>
      <c r="C29" s="459"/>
      <c r="D29" s="460"/>
      <c r="E29" s="101"/>
      <c r="F29" s="304"/>
    </row>
    <row r="30" spans="1:6" x14ac:dyDescent="0.25">
      <c r="A30" s="463" t="s">
        <v>59</v>
      </c>
      <c r="B30" s="465"/>
      <c r="C30" s="467" t="s">
        <v>58</v>
      </c>
      <c r="D30" s="468"/>
      <c r="E30" s="102"/>
      <c r="F30" s="303">
        <v>245</v>
      </c>
    </row>
    <row r="31" spans="1:6" x14ac:dyDescent="0.25">
      <c r="A31" s="471"/>
      <c r="B31" s="472"/>
      <c r="C31" s="473" t="s">
        <v>57</v>
      </c>
      <c r="D31" s="474"/>
      <c r="E31" s="102"/>
      <c r="F31" s="293">
        <v>461.05</v>
      </c>
    </row>
    <row r="32" spans="1:6" x14ac:dyDescent="0.25">
      <c r="A32" s="471"/>
      <c r="B32" s="472"/>
      <c r="C32" s="473" t="s">
        <v>69</v>
      </c>
      <c r="D32" s="474"/>
      <c r="E32" s="102"/>
      <c r="F32" s="293">
        <v>90.75</v>
      </c>
    </row>
    <row r="33" spans="1:6" x14ac:dyDescent="0.25">
      <c r="A33" s="471"/>
      <c r="B33" s="472"/>
      <c r="C33" s="486" t="s">
        <v>70</v>
      </c>
      <c r="D33" s="487"/>
      <c r="E33" s="102"/>
      <c r="F33" s="293">
        <v>77</v>
      </c>
    </row>
    <row r="34" spans="1:6" ht="15.75" thickBot="1" x14ac:dyDescent="0.3">
      <c r="A34" s="464"/>
      <c r="B34" s="466"/>
      <c r="C34" s="469" t="s">
        <v>111</v>
      </c>
      <c r="D34" s="470"/>
      <c r="E34" s="102"/>
      <c r="F34" s="302">
        <v>339.25</v>
      </c>
    </row>
    <row r="35" spans="1:6" x14ac:dyDescent="0.25">
      <c r="A35" s="463" t="s">
        <v>11</v>
      </c>
      <c r="B35" s="465"/>
      <c r="C35" s="467" t="s">
        <v>24</v>
      </c>
      <c r="D35" s="468"/>
      <c r="E35" s="102"/>
      <c r="F35" s="303">
        <v>12350</v>
      </c>
    </row>
    <row r="36" spans="1:6" ht="15.75" thickBot="1" x14ac:dyDescent="0.3">
      <c r="A36" s="464"/>
      <c r="B36" s="466"/>
      <c r="C36" s="469" t="s">
        <v>22</v>
      </c>
      <c r="D36" s="470"/>
      <c r="E36" s="102"/>
      <c r="F36" s="302">
        <v>13200</v>
      </c>
    </row>
    <row r="37" spans="1:6" x14ac:dyDescent="0.25">
      <c r="A37" s="463" t="s">
        <v>16</v>
      </c>
      <c r="B37" s="465"/>
      <c r="C37" s="467" t="s">
        <v>24</v>
      </c>
      <c r="D37" s="468"/>
      <c r="E37" s="102"/>
      <c r="F37" s="303">
        <v>21000</v>
      </c>
    </row>
    <row r="38" spans="1:6" ht="15.75" thickBot="1" x14ac:dyDescent="0.3">
      <c r="A38" s="464"/>
      <c r="B38" s="466"/>
      <c r="C38" s="482" t="s">
        <v>23</v>
      </c>
      <c r="D38" s="483"/>
      <c r="E38" s="102"/>
      <c r="F38" s="302">
        <v>21000</v>
      </c>
    </row>
    <row r="39" spans="1:6" ht="15.75" thickBot="1" x14ac:dyDescent="0.3">
      <c r="A39" s="90" t="s">
        <v>52</v>
      </c>
      <c r="B39" s="89" t="s">
        <v>53</v>
      </c>
      <c r="C39" s="459"/>
      <c r="D39" s="460"/>
      <c r="E39" s="101"/>
      <c r="F39" s="304"/>
    </row>
    <row r="40" spans="1:6" x14ac:dyDescent="0.25">
      <c r="A40" s="463" t="s">
        <v>219</v>
      </c>
      <c r="B40" s="465" t="s">
        <v>222</v>
      </c>
      <c r="C40" s="467" t="s">
        <v>221</v>
      </c>
      <c r="D40" s="468"/>
      <c r="E40" s="102"/>
      <c r="F40" s="303" t="s">
        <v>466</v>
      </c>
    </row>
    <row r="41" spans="1:6" ht="25.5" x14ac:dyDescent="0.25">
      <c r="A41" s="471"/>
      <c r="B41" s="472"/>
      <c r="C41" s="473" t="s">
        <v>220</v>
      </c>
      <c r="D41" s="474"/>
      <c r="E41" s="102"/>
      <c r="F41" s="293" t="s">
        <v>425</v>
      </c>
    </row>
    <row r="42" spans="1:6" ht="69.599999999999994" customHeight="1" thickBot="1" x14ac:dyDescent="0.3">
      <c r="A42" s="464"/>
      <c r="B42" s="472"/>
      <c r="C42" s="482"/>
      <c r="D42" s="483"/>
      <c r="E42" s="102"/>
      <c r="F42" s="305"/>
    </row>
    <row r="43" spans="1:6" ht="28.5" customHeight="1" thickBot="1" x14ac:dyDescent="0.3">
      <c r="A43" s="90" t="s">
        <v>219</v>
      </c>
      <c r="B43" s="89" t="s">
        <v>218</v>
      </c>
      <c r="C43" s="459"/>
      <c r="D43" s="460"/>
      <c r="E43" s="101"/>
      <c r="F43" s="304"/>
    </row>
    <row r="44" spans="1:6" ht="15.75" thickBot="1" x14ac:dyDescent="0.3">
      <c r="A44" s="484" t="s">
        <v>12</v>
      </c>
      <c r="B44" s="485" t="s">
        <v>142</v>
      </c>
      <c r="C44" s="467" t="s">
        <v>174</v>
      </c>
      <c r="D44" s="468"/>
      <c r="E44" s="102"/>
      <c r="F44" s="303" t="s">
        <v>278</v>
      </c>
    </row>
    <row r="45" spans="1:6" ht="15.75" thickBot="1" x14ac:dyDescent="0.3">
      <c r="A45" s="484"/>
      <c r="B45" s="485"/>
      <c r="C45" s="473" t="s">
        <v>175</v>
      </c>
      <c r="D45" s="474"/>
      <c r="E45" s="102"/>
      <c r="F45" s="293">
        <v>6610</v>
      </c>
    </row>
    <row r="46" spans="1:6" ht="15.75" thickBot="1" x14ac:dyDescent="0.3">
      <c r="A46" s="484"/>
      <c r="B46" s="485"/>
      <c r="C46" s="473" t="s">
        <v>176</v>
      </c>
      <c r="D46" s="474"/>
      <c r="E46" s="102"/>
      <c r="F46" s="306" t="s">
        <v>278</v>
      </c>
    </row>
    <row r="47" spans="1:6" ht="15.75" thickBot="1" x14ac:dyDescent="0.3">
      <c r="A47" s="484"/>
      <c r="B47" s="485"/>
      <c r="C47" s="473" t="s">
        <v>177</v>
      </c>
      <c r="D47" s="474"/>
      <c r="E47" s="102"/>
      <c r="F47" s="293">
        <v>6005</v>
      </c>
    </row>
    <row r="48" spans="1:6" ht="15.75" thickBot="1" x14ac:dyDescent="0.3">
      <c r="A48" s="484"/>
      <c r="B48" s="485"/>
      <c r="C48" s="473" t="s">
        <v>112</v>
      </c>
      <c r="D48" s="474"/>
      <c r="E48" s="102"/>
      <c r="F48" s="293" t="s">
        <v>426</v>
      </c>
    </row>
    <row r="49" spans="1:6" ht="15.75" thickBot="1" x14ac:dyDescent="0.3">
      <c r="A49" s="484"/>
      <c r="B49" s="485"/>
      <c r="C49" s="473" t="s">
        <v>113</v>
      </c>
      <c r="D49" s="474"/>
      <c r="E49" s="102"/>
      <c r="F49" s="293" t="s">
        <v>493</v>
      </c>
    </row>
    <row r="50" spans="1:6" ht="15.75" thickBot="1" x14ac:dyDescent="0.3">
      <c r="A50" s="484"/>
      <c r="B50" s="485"/>
      <c r="C50" s="486" t="s">
        <v>114</v>
      </c>
      <c r="D50" s="487"/>
      <c r="E50" s="102"/>
      <c r="F50" s="293" t="s">
        <v>426</v>
      </c>
    </row>
    <row r="51" spans="1:6" ht="15.75" thickBot="1" x14ac:dyDescent="0.3">
      <c r="A51" s="484"/>
      <c r="B51" s="485"/>
      <c r="C51" s="469" t="s">
        <v>115</v>
      </c>
      <c r="D51" s="470"/>
      <c r="E51" s="102"/>
      <c r="F51" s="302" t="s">
        <v>493</v>
      </c>
    </row>
    <row r="52" spans="1:6" x14ac:dyDescent="0.25">
      <c r="A52" s="463" t="s">
        <v>10</v>
      </c>
      <c r="B52" s="465" t="s">
        <v>217</v>
      </c>
      <c r="C52" s="467" t="s">
        <v>116</v>
      </c>
      <c r="D52" s="468"/>
      <c r="E52" s="102"/>
      <c r="F52" s="303">
        <v>1</v>
      </c>
    </row>
    <row r="53" spans="1:6" x14ac:dyDescent="0.25">
      <c r="A53" s="471"/>
      <c r="B53" s="472"/>
      <c r="C53" s="473" t="s">
        <v>117</v>
      </c>
      <c r="D53" s="474"/>
      <c r="E53" s="102"/>
      <c r="F53" s="293" t="s">
        <v>197</v>
      </c>
    </row>
    <row r="54" spans="1:6" ht="15.75" thickBot="1" x14ac:dyDescent="0.3">
      <c r="A54" s="471"/>
      <c r="B54" s="472"/>
      <c r="C54" s="482" t="s">
        <v>71</v>
      </c>
      <c r="D54" s="483"/>
      <c r="E54" s="102"/>
      <c r="F54" s="305" t="s">
        <v>467</v>
      </c>
    </row>
    <row r="55" spans="1:6" ht="83.1" customHeight="1" thickBot="1" x14ac:dyDescent="0.3">
      <c r="A55" s="28" t="s">
        <v>185</v>
      </c>
      <c r="B55" s="28" t="s">
        <v>186</v>
      </c>
      <c r="C55" s="380" t="s">
        <v>187</v>
      </c>
      <c r="D55" s="430"/>
      <c r="E55" s="102"/>
      <c r="F55" s="303">
        <v>120</v>
      </c>
    </row>
    <row r="56" spans="1:6" x14ac:dyDescent="0.25">
      <c r="A56" s="463" t="s">
        <v>26</v>
      </c>
      <c r="B56" s="465" t="s">
        <v>253</v>
      </c>
      <c r="C56" s="467" t="s">
        <v>74</v>
      </c>
      <c r="D56" s="468"/>
      <c r="E56" s="102"/>
      <c r="F56" s="303" t="s">
        <v>514</v>
      </c>
    </row>
    <row r="57" spans="1:6" x14ac:dyDescent="0.25">
      <c r="A57" s="471"/>
      <c r="B57" s="472"/>
      <c r="C57" s="473" t="s">
        <v>75</v>
      </c>
      <c r="D57" s="474"/>
      <c r="E57" s="102"/>
      <c r="F57" s="293" t="s">
        <v>469</v>
      </c>
    </row>
    <row r="58" spans="1:6" ht="29.25" customHeight="1" thickBot="1" x14ac:dyDescent="0.3">
      <c r="A58" s="464"/>
      <c r="B58" s="466"/>
      <c r="C58" s="469" t="s">
        <v>252</v>
      </c>
      <c r="D58" s="470"/>
      <c r="E58" s="102"/>
      <c r="F58" s="302" t="s">
        <v>515</v>
      </c>
    </row>
    <row r="59" spans="1:6" ht="15.75" thickBot="1" x14ac:dyDescent="0.3">
      <c r="A59" s="90" t="s">
        <v>44</v>
      </c>
      <c r="B59" s="89" t="s">
        <v>45</v>
      </c>
      <c r="C59" s="459"/>
      <c r="D59" s="460"/>
      <c r="E59" s="101"/>
      <c r="F59" s="307"/>
    </row>
    <row r="60" spans="1:6" ht="27.95" customHeight="1" thickBot="1" x14ac:dyDescent="0.3">
      <c r="A60" s="90" t="s">
        <v>44</v>
      </c>
      <c r="B60" s="89" t="s">
        <v>63</v>
      </c>
      <c r="C60" s="459"/>
      <c r="D60" s="460"/>
      <c r="E60" s="101"/>
      <c r="F60" s="307"/>
    </row>
    <row r="61" spans="1:6" ht="28.5" customHeight="1" thickBot="1" x14ac:dyDescent="0.3">
      <c r="A61" s="90" t="s">
        <v>44</v>
      </c>
      <c r="B61" s="89" t="s">
        <v>64</v>
      </c>
      <c r="C61" s="459"/>
      <c r="D61" s="460"/>
      <c r="E61" s="101"/>
      <c r="F61" s="307"/>
    </row>
    <row r="62" spans="1:6" ht="27.95" customHeight="1" thickBot="1" x14ac:dyDescent="0.3">
      <c r="A62" s="90" t="s">
        <v>50</v>
      </c>
      <c r="B62" s="89" t="s">
        <v>216</v>
      </c>
      <c r="C62" s="459"/>
      <c r="D62" s="460"/>
      <c r="E62" s="101"/>
      <c r="F62" s="307"/>
    </row>
    <row r="63" spans="1:6" ht="15.75" thickBot="1" x14ac:dyDescent="0.3">
      <c r="A63" s="90" t="s">
        <v>27</v>
      </c>
      <c r="B63" s="89" t="s">
        <v>215</v>
      </c>
      <c r="C63" s="461" t="s">
        <v>77</v>
      </c>
      <c r="D63" s="462"/>
      <c r="E63" s="102"/>
      <c r="F63" s="304" t="s">
        <v>516</v>
      </c>
    </row>
    <row r="64" spans="1:6" ht="51.95" customHeight="1" thickBot="1" x14ac:dyDescent="0.3">
      <c r="A64" s="90" t="s">
        <v>214</v>
      </c>
      <c r="B64" s="89" t="s">
        <v>213</v>
      </c>
      <c r="C64" s="461"/>
      <c r="D64" s="462"/>
      <c r="E64" s="102"/>
      <c r="F64" s="304"/>
    </row>
    <row r="65" spans="1:6" ht="41.1" customHeight="1" thickBot="1" x14ac:dyDescent="0.3">
      <c r="A65" s="90" t="s">
        <v>51</v>
      </c>
      <c r="B65" s="89" t="s">
        <v>212</v>
      </c>
      <c r="C65" s="459"/>
      <c r="D65" s="460"/>
      <c r="E65" s="101"/>
      <c r="F65" s="304"/>
    </row>
    <row r="66" spans="1:6" ht="42.6" customHeight="1" thickBot="1" x14ac:dyDescent="0.3">
      <c r="A66" s="90" t="s">
        <v>54</v>
      </c>
      <c r="B66" s="89" t="s">
        <v>80</v>
      </c>
      <c r="C66" s="459"/>
      <c r="D66" s="460"/>
      <c r="E66" s="101"/>
      <c r="F66" s="304"/>
    </row>
    <row r="67" spans="1:6" ht="84.95" customHeight="1" thickBot="1" x14ac:dyDescent="0.3">
      <c r="A67" s="90" t="s">
        <v>29</v>
      </c>
      <c r="B67" s="89" t="s">
        <v>211</v>
      </c>
      <c r="C67" s="459"/>
      <c r="D67" s="460"/>
      <c r="E67" s="101"/>
      <c r="F67" s="304"/>
    </row>
    <row r="68" spans="1:6" ht="53.1" customHeight="1" thickBot="1" x14ac:dyDescent="0.3">
      <c r="A68" s="90" t="s">
        <v>31</v>
      </c>
      <c r="B68" s="89" t="s">
        <v>210</v>
      </c>
      <c r="C68" s="461" t="s">
        <v>30</v>
      </c>
      <c r="D68" s="462"/>
      <c r="E68" s="102"/>
      <c r="F68" s="304" t="s">
        <v>517</v>
      </c>
    </row>
    <row r="69" spans="1:6" ht="29.45" customHeight="1" thickBot="1" x14ac:dyDescent="0.3">
      <c r="A69" s="90" t="s">
        <v>55</v>
      </c>
      <c r="B69" s="89" t="s">
        <v>95</v>
      </c>
      <c r="C69" s="459"/>
      <c r="D69" s="460"/>
      <c r="E69" s="101"/>
      <c r="F69" s="304"/>
    </row>
    <row r="70" spans="1:6" ht="29.45" customHeight="1" thickBot="1" x14ac:dyDescent="0.3">
      <c r="A70" s="90" t="s">
        <v>32</v>
      </c>
      <c r="B70" s="89" t="s">
        <v>96</v>
      </c>
      <c r="C70" s="461" t="s">
        <v>30</v>
      </c>
      <c r="D70" s="462"/>
      <c r="E70" s="102"/>
      <c r="F70" s="308" t="s">
        <v>436</v>
      </c>
    </row>
    <row r="71" spans="1:6" ht="41.1" customHeight="1" thickBot="1" x14ac:dyDescent="0.3">
      <c r="A71" s="90" t="s">
        <v>56</v>
      </c>
      <c r="B71" s="89" t="s">
        <v>167</v>
      </c>
      <c r="C71" s="459"/>
      <c r="D71" s="460"/>
      <c r="E71" s="101"/>
      <c r="F71" s="304"/>
    </row>
    <row r="72" spans="1:6" ht="27.95" customHeight="1" thickBot="1" x14ac:dyDescent="0.3">
      <c r="A72" s="90" t="s">
        <v>48</v>
      </c>
      <c r="B72" s="89" t="s">
        <v>47</v>
      </c>
      <c r="C72" s="459"/>
      <c r="D72" s="460"/>
      <c r="E72" s="101"/>
      <c r="F72" s="304"/>
    </row>
    <row r="73" spans="1:6" ht="27.6" customHeight="1" thickBot="1" x14ac:dyDescent="0.3">
      <c r="A73" s="90" t="s">
        <v>49</v>
      </c>
      <c r="B73" s="89" t="s">
        <v>489</v>
      </c>
      <c r="C73" s="459"/>
      <c r="D73" s="460"/>
      <c r="E73" s="101"/>
      <c r="F73" s="304" t="s">
        <v>280</v>
      </c>
    </row>
    <row r="74" spans="1:6" ht="26.25" thickBot="1" x14ac:dyDescent="0.3">
      <c r="A74" s="90" t="s">
        <v>46</v>
      </c>
      <c r="B74" s="89" t="s">
        <v>484</v>
      </c>
      <c r="C74" s="459"/>
      <c r="D74" s="460"/>
      <c r="E74" s="101"/>
      <c r="F74" s="304"/>
    </row>
    <row r="75" spans="1:6" ht="15.75" thickBot="1" x14ac:dyDescent="0.3"/>
    <row r="76" spans="1:6" ht="16.5" customHeight="1" thickBot="1" x14ac:dyDescent="0.3">
      <c r="A76" s="373" t="s">
        <v>168</v>
      </c>
      <c r="B76" s="374"/>
      <c r="C76" s="374"/>
      <c r="D76" s="375"/>
      <c r="E76" s="38"/>
      <c r="F76" s="181" t="s">
        <v>420</v>
      </c>
    </row>
    <row r="77" spans="1:6" ht="15.75" customHeight="1" thickBot="1" x14ac:dyDescent="0.3">
      <c r="A77" s="382" t="s">
        <v>169</v>
      </c>
      <c r="B77" s="383"/>
      <c r="C77" s="383"/>
      <c r="D77" s="384"/>
      <c r="E77" s="39"/>
      <c r="F77" s="188" t="s">
        <v>207</v>
      </c>
    </row>
    <row r="78" spans="1:6" ht="15" customHeight="1" x14ac:dyDescent="0.25">
      <c r="A78" s="385" t="s">
        <v>83</v>
      </c>
      <c r="B78" s="386"/>
      <c r="C78" s="386"/>
      <c r="D78" s="387"/>
      <c r="E78"/>
      <c r="F78" s="189">
        <f>-1337.32*('PPI Adj'!D6)</f>
        <v>-1560.6524400000001</v>
      </c>
    </row>
    <row r="79" spans="1:6" ht="15" customHeight="1" x14ac:dyDescent="0.25">
      <c r="A79" s="388" t="s">
        <v>34</v>
      </c>
      <c r="B79" s="389"/>
      <c r="C79" s="389"/>
      <c r="D79" s="390"/>
      <c r="E79"/>
      <c r="F79" s="190">
        <f>544.44*('PPI Adj'!D6)</f>
        <v>635.36148000000003</v>
      </c>
    </row>
    <row r="80" spans="1:6" x14ac:dyDescent="0.25">
      <c r="A80" s="388" t="s">
        <v>35</v>
      </c>
      <c r="B80" s="389"/>
      <c r="C80" s="389"/>
      <c r="D80" s="390"/>
      <c r="E80"/>
      <c r="F80" s="190">
        <f>696.15*('PPI Adj'!D6)</f>
        <v>812.40705000000003</v>
      </c>
    </row>
    <row r="81" spans="1:6" x14ac:dyDescent="0.25">
      <c r="A81" s="388" t="s">
        <v>36</v>
      </c>
      <c r="B81" s="389"/>
      <c r="C81" s="389"/>
      <c r="D81" s="390"/>
      <c r="E81"/>
      <c r="F81" s="190">
        <f>1340.82*('PPI Adj'!D6)</f>
        <v>1564.73694</v>
      </c>
    </row>
    <row r="82" spans="1:6" x14ac:dyDescent="0.25">
      <c r="A82" s="388" t="s">
        <v>209</v>
      </c>
      <c r="B82" s="389"/>
      <c r="C82" s="389"/>
      <c r="D82" s="390"/>
      <c r="E82"/>
      <c r="F82" s="190">
        <f>655.98*('PPI Adj'!D6)</f>
        <v>765.52866000000006</v>
      </c>
    </row>
    <row r="83" spans="1:6" x14ac:dyDescent="0.25">
      <c r="A83" s="388" t="s">
        <v>208</v>
      </c>
      <c r="B83" s="389"/>
      <c r="C83" s="389"/>
      <c r="D83" s="390"/>
      <c r="E83"/>
      <c r="F83" s="190" t="s">
        <v>183</v>
      </c>
    </row>
    <row r="84" spans="1:6" ht="15" customHeight="1" x14ac:dyDescent="0.25">
      <c r="A84" s="388" t="s">
        <v>86</v>
      </c>
      <c r="B84" s="389"/>
      <c r="C84" s="389"/>
      <c r="D84" s="390"/>
      <c r="E84"/>
      <c r="F84" s="190">
        <f>1202.76*('PPI Adj'!D6)</f>
        <v>1403.6209200000001</v>
      </c>
    </row>
    <row r="85" spans="1:6" ht="15" customHeight="1" x14ac:dyDescent="0.25">
      <c r="A85" s="388" t="s">
        <v>85</v>
      </c>
      <c r="B85" s="389"/>
      <c r="C85" s="389"/>
      <c r="D85" s="390"/>
      <c r="E85"/>
      <c r="F85" s="190" t="s">
        <v>181</v>
      </c>
    </row>
    <row r="86" spans="1:6" x14ac:dyDescent="0.25">
      <c r="A86" s="388" t="s">
        <v>13</v>
      </c>
      <c r="B86" s="389"/>
      <c r="C86" s="389"/>
      <c r="D86" s="390"/>
      <c r="E86"/>
      <c r="F86" s="190">
        <f>6533.28*('PPI Adj'!D6)</f>
        <v>7624.3377600000003</v>
      </c>
    </row>
    <row r="87" spans="1:6" ht="15" customHeight="1" x14ac:dyDescent="0.25">
      <c r="A87" s="388" t="s">
        <v>37</v>
      </c>
      <c r="B87" s="389"/>
      <c r="C87" s="389"/>
      <c r="D87" s="390"/>
      <c r="E87"/>
      <c r="F87" s="190">
        <f>97.5*('PPI Adj'!D6)</f>
        <v>113.7825</v>
      </c>
    </row>
    <row r="88" spans="1:6" x14ac:dyDescent="0.25">
      <c r="A88" s="388" t="s">
        <v>38</v>
      </c>
      <c r="B88" s="389"/>
      <c r="C88" s="389"/>
      <c r="D88" s="390"/>
      <c r="E88"/>
      <c r="F88" s="190">
        <f>397.8*('PPI Adj'!D6)</f>
        <v>464.23260000000005</v>
      </c>
    </row>
    <row r="89" spans="1:6" x14ac:dyDescent="0.25">
      <c r="A89" s="388" t="s">
        <v>201</v>
      </c>
      <c r="B89" s="389"/>
      <c r="C89" s="389"/>
      <c r="D89" s="390"/>
      <c r="E89"/>
      <c r="F89" s="190" t="s">
        <v>183</v>
      </c>
    </row>
    <row r="90" spans="1:6" x14ac:dyDescent="0.25">
      <c r="A90" s="388" t="s">
        <v>39</v>
      </c>
      <c r="B90" s="389"/>
      <c r="C90" s="389"/>
      <c r="D90" s="390"/>
      <c r="E90"/>
      <c r="F90" s="190">
        <f>666.12*('PPI Adj'!D6)</f>
        <v>777.36203999999998</v>
      </c>
    </row>
    <row r="91" spans="1:6" ht="15" customHeight="1" x14ac:dyDescent="0.25">
      <c r="A91" s="388" t="s">
        <v>40</v>
      </c>
      <c r="B91" s="389"/>
      <c r="C91" s="389"/>
      <c r="D91" s="390"/>
      <c r="E91"/>
      <c r="F91" s="190">
        <f>854.88*('PPI Adj'!D6)</f>
        <v>997.64496000000008</v>
      </c>
    </row>
    <row r="92" spans="1:6" x14ac:dyDescent="0.25">
      <c r="A92" s="388" t="s">
        <v>14</v>
      </c>
      <c r="B92" s="389"/>
      <c r="C92" s="389"/>
      <c r="D92" s="390"/>
      <c r="E92"/>
      <c r="F92" s="190">
        <f>21524.55*('PPI Adj'!D6)</f>
        <v>25119.149850000002</v>
      </c>
    </row>
    <row r="93" spans="1:6" x14ac:dyDescent="0.25">
      <c r="A93" s="388" t="s">
        <v>91</v>
      </c>
      <c r="B93" s="389"/>
      <c r="C93" s="389"/>
      <c r="D93" s="390"/>
      <c r="E93"/>
      <c r="F93" s="190">
        <f>1800*('PPI Adj'!D6)</f>
        <v>2100.6</v>
      </c>
    </row>
    <row r="94" spans="1:6" ht="15" customHeight="1" x14ac:dyDescent="0.25">
      <c r="A94" s="394" t="s">
        <v>275</v>
      </c>
      <c r="B94" s="395"/>
      <c r="C94" s="395"/>
      <c r="D94" s="396"/>
      <c r="E94"/>
      <c r="F94" s="190">
        <f>-413.21*('PPI Adj'!D6)</f>
        <v>-482.21607</v>
      </c>
    </row>
    <row r="95" spans="1:6" ht="15" customHeight="1" thickBot="1" x14ac:dyDescent="0.3">
      <c r="A95" s="391" t="s">
        <v>92</v>
      </c>
      <c r="B95" s="392"/>
      <c r="C95" s="392"/>
      <c r="D95" s="393"/>
      <c r="E95"/>
      <c r="F95" s="191">
        <f>1013.03*('PPI Adj'!D6)</f>
        <v>1182.2060100000001</v>
      </c>
    </row>
    <row r="96" spans="1:6" ht="15.75" thickBot="1" x14ac:dyDescent="0.3"/>
    <row r="97" spans="1:6" ht="16.5" thickBot="1" x14ac:dyDescent="0.3">
      <c r="A97" s="479" t="s">
        <v>166</v>
      </c>
      <c r="B97" s="480"/>
      <c r="C97" s="480"/>
      <c r="D97" s="481"/>
      <c r="E97" s="100"/>
      <c r="F97" s="290" t="s">
        <v>420</v>
      </c>
    </row>
    <row r="98" spans="1:6" ht="21.75" customHeight="1" thickBot="1" x14ac:dyDescent="0.3">
      <c r="A98" s="99" t="s">
        <v>33</v>
      </c>
      <c r="B98" s="98" t="s">
        <v>7</v>
      </c>
      <c r="C98" s="475" t="s">
        <v>165</v>
      </c>
      <c r="D98" s="476"/>
      <c r="E98" s="97"/>
      <c r="F98" s="291" t="s">
        <v>184</v>
      </c>
    </row>
    <row r="99" spans="1:6" ht="42.75" customHeight="1" thickTop="1" thickBot="1" x14ac:dyDescent="0.3">
      <c r="A99" s="96" t="s">
        <v>83</v>
      </c>
      <c r="B99" s="95" t="s">
        <v>146</v>
      </c>
      <c r="C99" s="477"/>
      <c r="D99" s="478"/>
      <c r="E99" s="88"/>
      <c r="F99" s="308" t="s">
        <v>507</v>
      </c>
    </row>
    <row r="100" spans="1:6" ht="32.25" customHeight="1" thickBot="1" x14ac:dyDescent="0.3">
      <c r="A100" s="90" t="s">
        <v>34</v>
      </c>
      <c r="B100" s="89" t="s">
        <v>107</v>
      </c>
      <c r="C100" s="461" t="s">
        <v>30</v>
      </c>
      <c r="D100" s="462"/>
      <c r="E100" s="91"/>
      <c r="F100" s="308" t="s">
        <v>439</v>
      </c>
    </row>
    <row r="101" spans="1:6" ht="60" customHeight="1" thickBot="1" x14ac:dyDescent="0.3">
      <c r="A101" s="90" t="s">
        <v>35</v>
      </c>
      <c r="B101" s="89" t="s">
        <v>97</v>
      </c>
      <c r="C101" s="459"/>
      <c r="D101" s="460"/>
      <c r="E101" s="88"/>
      <c r="F101" s="308"/>
    </row>
    <row r="102" spans="1:6" ht="35.25" customHeight="1" thickBot="1" x14ac:dyDescent="0.3">
      <c r="A102" s="90" t="s">
        <v>36</v>
      </c>
      <c r="B102" s="89" t="s">
        <v>84</v>
      </c>
      <c r="C102" s="461" t="s">
        <v>99</v>
      </c>
      <c r="D102" s="462"/>
      <c r="E102" s="91"/>
      <c r="F102" s="308" t="s">
        <v>441</v>
      </c>
    </row>
    <row r="103" spans="1:6" ht="14.25" customHeight="1" thickBot="1" x14ac:dyDescent="0.3">
      <c r="A103" s="463" t="s">
        <v>60</v>
      </c>
      <c r="B103" s="465" t="s">
        <v>133</v>
      </c>
      <c r="C103" s="467" t="s">
        <v>203</v>
      </c>
      <c r="D103" s="468"/>
      <c r="E103" s="91"/>
      <c r="F103" s="309" t="s">
        <v>278</v>
      </c>
    </row>
    <row r="104" spans="1:6" ht="15.75" thickBot="1" x14ac:dyDescent="0.3">
      <c r="A104" s="471"/>
      <c r="B104" s="472"/>
      <c r="C104" s="473" t="s">
        <v>202</v>
      </c>
      <c r="D104" s="474"/>
      <c r="E104" s="91"/>
      <c r="F104" s="309">
        <v>6005</v>
      </c>
    </row>
    <row r="105" spans="1:6" ht="15.75" thickBot="1" x14ac:dyDescent="0.3">
      <c r="A105" s="471"/>
      <c r="B105" s="472"/>
      <c r="C105" s="473" t="s">
        <v>114</v>
      </c>
      <c r="D105" s="474"/>
      <c r="E105" s="91"/>
      <c r="F105" s="309" t="s">
        <v>442</v>
      </c>
    </row>
    <row r="106" spans="1:6" ht="23.25" customHeight="1" thickBot="1" x14ac:dyDescent="0.3">
      <c r="A106" s="464"/>
      <c r="B106" s="466"/>
      <c r="C106" s="469" t="s">
        <v>115</v>
      </c>
      <c r="D106" s="470"/>
      <c r="E106" s="91"/>
      <c r="F106" s="309" t="s">
        <v>443</v>
      </c>
    </row>
    <row r="107" spans="1:6" ht="14.25" customHeight="1" thickBot="1" x14ac:dyDescent="0.3">
      <c r="A107" s="463" t="s">
        <v>61</v>
      </c>
      <c r="B107" s="465" t="s">
        <v>206</v>
      </c>
      <c r="C107" s="467" t="s">
        <v>205</v>
      </c>
      <c r="D107" s="468"/>
      <c r="E107" s="91"/>
      <c r="F107" s="309"/>
    </row>
    <row r="108" spans="1:6" ht="15.75" thickBot="1" x14ac:dyDescent="0.3">
      <c r="A108" s="471"/>
      <c r="B108" s="472"/>
      <c r="C108" s="473" t="s">
        <v>204</v>
      </c>
      <c r="D108" s="474"/>
      <c r="E108" s="91"/>
      <c r="F108" s="309"/>
    </row>
    <row r="109" spans="1:6" ht="15.75" customHeight="1" thickBot="1" x14ac:dyDescent="0.3">
      <c r="A109" s="471"/>
      <c r="B109" s="472"/>
      <c r="C109" s="473" t="s">
        <v>203</v>
      </c>
      <c r="D109" s="474"/>
      <c r="E109" s="91"/>
      <c r="F109" s="309"/>
    </row>
    <row r="110" spans="1:6" ht="15.75" thickBot="1" x14ac:dyDescent="0.3">
      <c r="A110" s="471"/>
      <c r="B110" s="472"/>
      <c r="C110" s="473" t="s">
        <v>202</v>
      </c>
      <c r="D110" s="474"/>
      <c r="E110" s="91"/>
      <c r="F110" s="309"/>
    </row>
    <row r="111" spans="1:6" ht="15.75" thickBot="1" x14ac:dyDescent="0.3">
      <c r="A111" s="471"/>
      <c r="B111" s="472"/>
      <c r="C111" s="473" t="s">
        <v>112</v>
      </c>
      <c r="D111" s="474"/>
      <c r="E111" s="91"/>
      <c r="F111" s="309"/>
    </row>
    <row r="112" spans="1:6" ht="15.75" thickBot="1" x14ac:dyDescent="0.3">
      <c r="A112" s="471"/>
      <c r="B112" s="472"/>
      <c r="C112" s="473" t="s">
        <v>113</v>
      </c>
      <c r="D112" s="474"/>
      <c r="E112" s="91"/>
      <c r="F112" s="309"/>
    </row>
    <row r="113" spans="1:6" ht="15.75" thickBot="1" x14ac:dyDescent="0.3">
      <c r="A113" s="471"/>
      <c r="B113" s="472"/>
      <c r="C113" s="473" t="s">
        <v>114</v>
      </c>
      <c r="D113" s="474"/>
      <c r="E113" s="91"/>
      <c r="F113" s="309"/>
    </row>
    <row r="114" spans="1:6" ht="15.75" thickBot="1" x14ac:dyDescent="0.3">
      <c r="A114" s="464"/>
      <c r="B114" s="466"/>
      <c r="C114" s="469" t="s">
        <v>115</v>
      </c>
      <c r="D114" s="470"/>
      <c r="E114" s="91"/>
      <c r="F114" s="309"/>
    </row>
    <row r="115" spans="1:6" ht="149.44999999999999" customHeight="1" thickBot="1" x14ac:dyDescent="0.3">
      <c r="A115" s="94" t="s">
        <v>86</v>
      </c>
      <c r="B115" s="93" t="s">
        <v>143</v>
      </c>
      <c r="C115" s="461" t="s">
        <v>104</v>
      </c>
      <c r="D115" s="462"/>
      <c r="E115" s="91"/>
      <c r="F115" s="308" t="s">
        <v>444</v>
      </c>
    </row>
    <row r="116" spans="1:6" ht="171.6" customHeight="1" thickBot="1" x14ac:dyDescent="0.3">
      <c r="A116" s="90" t="s">
        <v>85</v>
      </c>
      <c r="B116" s="92" t="s">
        <v>170</v>
      </c>
      <c r="C116" s="461" t="s">
        <v>104</v>
      </c>
      <c r="D116" s="462"/>
      <c r="E116" s="91"/>
      <c r="F116" s="308" t="s">
        <v>181</v>
      </c>
    </row>
    <row r="117" spans="1:6" x14ac:dyDescent="0.25">
      <c r="A117" s="463" t="s">
        <v>13</v>
      </c>
      <c r="B117" s="465" t="s">
        <v>98</v>
      </c>
      <c r="C117" s="467" t="s">
        <v>30</v>
      </c>
      <c r="D117" s="468"/>
      <c r="E117" s="91"/>
      <c r="F117" s="309" t="s">
        <v>446</v>
      </c>
    </row>
    <row r="118" spans="1:6" ht="35.1" customHeight="1" thickBot="1" x14ac:dyDescent="0.3">
      <c r="A118" s="464"/>
      <c r="B118" s="466"/>
      <c r="C118" s="469" t="s">
        <v>109</v>
      </c>
      <c r="D118" s="470"/>
      <c r="E118" s="91"/>
      <c r="F118" s="310">
        <v>1000</v>
      </c>
    </row>
    <row r="119" spans="1:6" ht="69" customHeight="1" thickBot="1" x14ac:dyDescent="0.3">
      <c r="A119" s="90" t="s">
        <v>37</v>
      </c>
      <c r="B119" s="89" t="s">
        <v>135</v>
      </c>
      <c r="C119" s="459"/>
      <c r="D119" s="460"/>
      <c r="E119" s="88"/>
      <c r="F119" s="308" t="s">
        <v>447</v>
      </c>
    </row>
    <row r="120" spans="1:6" ht="40.5" customHeight="1" thickBot="1" x14ac:dyDescent="0.3">
      <c r="A120" s="90" t="s">
        <v>38</v>
      </c>
      <c r="B120" s="89" t="s">
        <v>87</v>
      </c>
      <c r="C120" s="459"/>
      <c r="D120" s="460"/>
      <c r="E120" s="88"/>
      <c r="F120" s="308"/>
    </row>
    <row r="121" spans="1:6" ht="15.75" thickBot="1" x14ac:dyDescent="0.3">
      <c r="A121" s="90" t="s">
        <v>201</v>
      </c>
      <c r="B121" s="89" t="s">
        <v>200</v>
      </c>
      <c r="C121" s="461"/>
      <c r="D121" s="462"/>
      <c r="E121" s="91"/>
      <c r="F121" s="308"/>
    </row>
    <row r="122" spans="1:6" ht="29.45" customHeight="1" thickBot="1" x14ac:dyDescent="0.3">
      <c r="A122" s="90" t="s">
        <v>39</v>
      </c>
      <c r="B122" s="89" t="s">
        <v>106</v>
      </c>
      <c r="C122" s="461" t="s">
        <v>105</v>
      </c>
      <c r="D122" s="462"/>
      <c r="E122" s="91"/>
      <c r="F122" s="308" t="s">
        <v>499</v>
      </c>
    </row>
    <row r="123" spans="1:6" ht="51.75" thickBot="1" x14ac:dyDescent="0.3">
      <c r="A123" s="90" t="s">
        <v>40</v>
      </c>
      <c r="B123" s="89" t="s">
        <v>137</v>
      </c>
      <c r="C123" s="461" t="s">
        <v>100</v>
      </c>
      <c r="D123" s="462"/>
      <c r="E123" s="91"/>
      <c r="F123" s="310" t="s">
        <v>508</v>
      </c>
    </row>
    <row r="124" spans="1:6" ht="53.45" customHeight="1" thickBot="1" x14ac:dyDescent="0.3">
      <c r="A124" s="463" t="s">
        <v>14</v>
      </c>
      <c r="B124" s="465" t="s">
        <v>138</v>
      </c>
      <c r="C124" s="461" t="s">
        <v>139</v>
      </c>
      <c r="D124" s="462"/>
      <c r="E124" s="91"/>
      <c r="F124" s="308">
        <v>2</v>
      </c>
    </row>
    <row r="125" spans="1:6" ht="53.45" customHeight="1" thickBot="1" x14ac:dyDescent="0.3">
      <c r="A125" s="464"/>
      <c r="B125" s="466"/>
      <c r="C125" s="461" t="s">
        <v>279</v>
      </c>
      <c r="D125" s="462"/>
      <c r="E125" s="91"/>
      <c r="F125" s="308" t="s">
        <v>280</v>
      </c>
    </row>
    <row r="126" spans="1:6" ht="68.45" customHeight="1" thickBot="1" x14ac:dyDescent="0.3">
      <c r="A126" s="90" t="s">
        <v>91</v>
      </c>
      <c r="B126" s="89" t="s">
        <v>144</v>
      </c>
      <c r="C126" s="461" t="s">
        <v>100</v>
      </c>
      <c r="D126" s="462"/>
      <c r="E126" s="91"/>
      <c r="F126" s="308" t="s">
        <v>359</v>
      </c>
    </row>
    <row r="127" spans="1:6" ht="66.599999999999994" customHeight="1" thickBot="1" x14ac:dyDescent="0.3">
      <c r="A127" s="90" t="s">
        <v>92</v>
      </c>
      <c r="B127" s="89" t="s">
        <v>145</v>
      </c>
      <c r="C127" s="459"/>
      <c r="D127" s="460"/>
      <c r="E127" s="88"/>
      <c r="F127" s="308"/>
    </row>
  </sheetData>
  <sheetProtection algorithmName="SHA-512" hashValue="7oyhQstxkbqiwFhrO2ctyRs6r3KMSxzo6Zr3O65U9VOjQnZN7/oND0J8LqquqazRDkZ6BIGZKS1cgt7URB1udQ==" saltValue="ZIrRY+UonMZLTTwZrbCMbg==" spinCount="100000" sheet="1" objects="1" scenarios="1"/>
  <mergeCells count="142">
    <mergeCell ref="B16:D16"/>
    <mergeCell ref="B17:D17"/>
    <mergeCell ref="A19:D19"/>
    <mergeCell ref="A95:D95"/>
    <mergeCell ref="A124:A125"/>
    <mergeCell ref="B124:B125"/>
    <mergeCell ref="C125:D125"/>
    <mergeCell ref="A3:D3"/>
    <mergeCell ref="A4:D4"/>
    <mergeCell ref="A6:D6"/>
    <mergeCell ref="B8:D8"/>
    <mergeCell ref="B9:D9"/>
    <mergeCell ref="B21:D21"/>
    <mergeCell ref="B22:D22"/>
    <mergeCell ref="A24:D24"/>
    <mergeCell ref="B10:D10"/>
    <mergeCell ref="B11:D11"/>
    <mergeCell ref="B12:D12"/>
    <mergeCell ref="B13:D13"/>
    <mergeCell ref="B14:D14"/>
    <mergeCell ref="B15:D15"/>
    <mergeCell ref="C25:D25"/>
    <mergeCell ref="C26:D26"/>
    <mergeCell ref="A27:A28"/>
    <mergeCell ref="B27:B28"/>
    <mergeCell ref="C27:D27"/>
    <mergeCell ref="C28:D28"/>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A56:A58"/>
    <mergeCell ref="B56:B58"/>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A76:D76"/>
    <mergeCell ref="A77:D77"/>
    <mergeCell ref="A78:D78"/>
    <mergeCell ref="A79:D79"/>
    <mergeCell ref="A80:D80"/>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7:D97"/>
    <mergeCell ref="C98:D98"/>
    <mergeCell ref="C99:D99"/>
    <mergeCell ref="C100:D100"/>
    <mergeCell ref="C101:D101"/>
    <mergeCell ref="C102:D102"/>
    <mergeCell ref="A103:A106"/>
    <mergeCell ref="B103:B106"/>
    <mergeCell ref="C103:D103"/>
    <mergeCell ref="C104:D104"/>
    <mergeCell ref="C105:D105"/>
    <mergeCell ref="C106:D106"/>
    <mergeCell ref="A107:A114"/>
    <mergeCell ref="B107:B114"/>
    <mergeCell ref="C107:D107"/>
    <mergeCell ref="C108:D108"/>
    <mergeCell ref="C109:D109"/>
    <mergeCell ref="C110:D110"/>
    <mergeCell ref="C111:D111"/>
    <mergeCell ref="C112:D112"/>
    <mergeCell ref="C113:D113"/>
    <mergeCell ref="C114:D114"/>
    <mergeCell ref="C127:D127"/>
    <mergeCell ref="C119:D119"/>
    <mergeCell ref="C120:D120"/>
    <mergeCell ref="C121:D121"/>
    <mergeCell ref="C122:D122"/>
    <mergeCell ref="C115:D115"/>
    <mergeCell ref="C116:D116"/>
    <mergeCell ref="A117:A118"/>
    <mergeCell ref="B117:B118"/>
    <mergeCell ref="C117:D117"/>
    <mergeCell ref="C118:D118"/>
    <mergeCell ref="C123:D123"/>
    <mergeCell ref="C124:D124"/>
    <mergeCell ref="C126:D126"/>
  </mergeCells>
  <conditionalFormatting sqref="C61">
    <cfRule type="expression" dxfId="40" priority="59">
      <formula>#REF!="NO"</formula>
    </cfRule>
  </conditionalFormatting>
  <conditionalFormatting sqref="C125 E125">
    <cfRule type="expression" dxfId="39" priority="57">
      <formula>#REF!="NO"</formula>
    </cfRule>
  </conditionalFormatting>
  <conditionalFormatting sqref="C40:D42">
    <cfRule type="expression" dxfId="38" priority="48">
      <formula>$F$2="NO"</formula>
    </cfRule>
  </conditionalFormatting>
  <conditionalFormatting sqref="C55:D55">
    <cfRule type="expression" dxfId="37" priority="5">
      <formula>$F$2="NO"</formula>
    </cfRule>
  </conditionalFormatting>
  <conditionalFormatting sqref="C26:E39 E55 C126:E127">
    <cfRule type="expression" dxfId="36" priority="60">
      <formula>#REF!="NO"</formula>
    </cfRule>
  </conditionalFormatting>
  <conditionalFormatting sqref="C43:E54">
    <cfRule type="expression" dxfId="35" priority="47">
      <formula>#REF!="NO"</formula>
    </cfRule>
  </conditionalFormatting>
  <conditionalFormatting sqref="C56:E74">
    <cfRule type="expression" dxfId="34" priority="52">
      <formula>#REF!="NO"</formula>
    </cfRule>
  </conditionalFormatting>
  <conditionalFormatting sqref="C99:E124">
    <cfRule type="expression" dxfId="33" priority="50">
      <formula>#REF!="NO"</formula>
    </cfRule>
  </conditionalFormatting>
  <conditionalFormatting sqref="E40:E42">
    <cfRule type="expression" dxfId="32" priority="49">
      <formula>#REF!="NO"</formula>
    </cfRule>
  </conditionalFormatting>
  <conditionalFormatting sqref="F8:F17">
    <cfRule type="expression" dxfId="31" priority="30">
      <formula>#REF!="NO"</formula>
    </cfRule>
  </conditionalFormatting>
  <conditionalFormatting sqref="F21:F22">
    <cfRule type="expression" dxfId="30" priority="40">
      <formula>#REF!="NO"</formula>
    </cfRule>
  </conditionalFormatting>
  <conditionalFormatting sqref="F26:F74">
    <cfRule type="expression" dxfId="29" priority="8">
      <formula>#REF!="NO"</formula>
    </cfRule>
  </conditionalFormatting>
  <conditionalFormatting sqref="F78:F95">
    <cfRule type="expression" dxfId="28" priority="1">
      <formula>#REF!="NO"</formula>
    </cfRule>
  </conditionalFormatting>
  <conditionalFormatting sqref="F99:F116">
    <cfRule type="expression" dxfId="27" priority="9">
      <formula>#REF!="NO"</formula>
    </cfRule>
  </conditionalFormatting>
  <conditionalFormatting sqref="F118:F127">
    <cfRule type="expression" dxfId="26" priority="6">
      <formula>#REF!="NO"</formula>
    </cfRule>
  </conditionalFormatting>
  <dataValidations count="3">
    <dataValidation type="decimal" operator="greaterThanOrEqual" allowBlank="1" showInputMessage="1" showErrorMessage="1" error="The Pickup Allowance cannot be a negative number." sqref="F16" xr:uid="{35F50BD0-087C-4C00-8308-922987AB7345}">
      <formula1>0</formula1>
    </dataValidation>
    <dataValidation type="decimal" allowBlank="1" showInputMessage="1" showErrorMessage="1" error="Invalid Entry - Bidder must enter a value that is greater than $0" sqref="F21" xr:uid="{83D3ABA6-C240-4431-8A8B-3B79CCBCFD90}">
      <formula1>0</formula1>
      <formula2>9E+21</formula2>
    </dataValidation>
    <dataValidation type="decimal" allowBlank="1" showInputMessage="1" showErrorMessage="1" error="The Additional Options NYS Discount entered must be greater than 0%, or less than or equal to 100%." sqref="F22" xr:uid="{A480BEFF-9EC6-4A3F-9807-E932E9CBBB7B}">
      <formula1>0.01</formula1>
      <formula2>100</formula2>
    </dataValidation>
  </dataValidations>
  <pageMargins left="0.7" right="0.7" top="0.75" bottom="0.75" header="0.3" footer="0.3"/>
  <pageSetup scale="78" fitToHeight="0" orientation="landscape" r:id="rId1"/>
  <rowBreaks count="2" manualBreakCount="2">
    <brk id="51" max="16383" man="1"/>
    <brk id="89"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8EE25-B38C-468D-B418-3281434C0469}">
  <sheetPr>
    <tabColor theme="8"/>
    <pageSetUpPr autoPageBreaks="0" fitToPage="1"/>
  </sheetPr>
  <dimension ref="A1:G134"/>
  <sheetViews>
    <sheetView showGridLines="0" zoomScaleNormal="100" zoomScaleSheetLayoutView="100" workbookViewId="0">
      <selection activeCell="A3" sqref="A3:D3"/>
    </sheetView>
  </sheetViews>
  <sheetFormatPr defaultColWidth="9.140625" defaultRowHeight="12.75" x14ac:dyDescent="0.2"/>
  <cols>
    <col min="1" max="1" width="19.140625" style="2" customWidth="1"/>
    <col min="2" max="2" width="62.85546875" style="2" customWidth="1"/>
    <col min="3" max="3" width="14.7109375" style="2" customWidth="1"/>
    <col min="4" max="4" width="20.7109375" style="2" customWidth="1"/>
    <col min="5" max="5" width="2.7109375" style="2" customWidth="1"/>
    <col min="6" max="6" width="20.7109375" style="187" customWidth="1"/>
    <col min="7" max="7" width="2.7109375" style="2" customWidth="1"/>
    <col min="8" max="16384" width="9.140625" style="2"/>
  </cols>
  <sheetData>
    <row r="1" spans="1:7" ht="18" customHeight="1" x14ac:dyDescent="0.2">
      <c r="A1" s="165" t="str">
        <f>'A (Item 2-G)'!$A$1</f>
        <v>GROUP 40524-23254, SCHOOL BUSES (Statewide)                                                             Attachment 1 - Specifications and Pricing (Revised October 15, 2026)</v>
      </c>
      <c r="F1" s="210"/>
    </row>
    <row r="2" spans="1:7" s="25" customFormat="1" ht="18" customHeight="1" thickBot="1" x14ac:dyDescent="0.3">
      <c r="A2" s="316" t="str">
        <f>'Attachment 1 - Summary'!B2</f>
        <v>PC69864 New York Bus Sales, LLC</v>
      </c>
      <c r="B2" s="26"/>
      <c r="C2" s="26"/>
      <c r="D2" s="26"/>
      <c r="E2" s="26"/>
      <c r="F2" s="314"/>
      <c r="G2" s="26"/>
    </row>
    <row r="3" spans="1:7" ht="24" thickBot="1" x14ac:dyDescent="0.25">
      <c r="A3" s="456" t="s">
        <v>502</v>
      </c>
      <c r="B3" s="457"/>
      <c r="C3" s="457"/>
      <c r="D3" s="458"/>
      <c r="E3" s="9"/>
      <c r="F3" s="312"/>
      <c r="G3" s="9"/>
    </row>
    <row r="4" spans="1:7" ht="51" customHeight="1" thickBot="1" x14ac:dyDescent="0.25">
      <c r="A4" s="343" t="s">
        <v>501</v>
      </c>
      <c r="B4" s="344"/>
      <c r="C4" s="344"/>
      <c r="D4" s="345"/>
      <c r="E4" s="9"/>
      <c r="F4" s="312"/>
      <c r="G4" s="9"/>
    </row>
    <row r="5" spans="1:7" s="4" customFormat="1" ht="11.25" customHeight="1" thickBot="1" x14ac:dyDescent="0.3">
      <c r="A5" s="57"/>
      <c r="B5" s="57"/>
      <c r="C5" s="57"/>
      <c r="D5" s="57"/>
      <c r="E5" s="57"/>
      <c r="F5" s="313"/>
    </row>
    <row r="6" spans="1:7" s="8" customFormat="1" ht="16.5" customHeight="1" thickBot="1" x14ac:dyDescent="0.25">
      <c r="A6" s="346" t="s">
        <v>151</v>
      </c>
      <c r="B6" s="347"/>
      <c r="C6" s="347"/>
      <c r="D6" s="348"/>
      <c r="E6" s="36"/>
      <c r="F6" s="181" t="s">
        <v>420</v>
      </c>
      <c r="G6" s="36"/>
    </row>
    <row r="7" spans="1:7" s="4" customFormat="1" ht="15" customHeight="1" thickBot="1" x14ac:dyDescent="0.3">
      <c r="A7" s="41" t="s">
        <v>6</v>
      </c>
      <c r="B7" s="27" t="s">
        <v>165</v>
      </c>
      <c r="C7" s="32"/>
      <c r="D7" s="40"/>
      <c r="E7" s="37"/>
      <c r="F7" s="188" t="s">
        <v>19</v>
      </c>
      <c r="G7" s="37"/>
    </row>
    <row r="8" spans="1:7" ht="65.25" thickTop="1" thickBot="1" x14ac:dyDescent="0.25">
      <c r="A8" s="42" t="s">
        <v>9</v>
      </c>
      <c r="B8" s="337" t="s">
        <v>152</v>
      </c>
      <c r="C8" s="338"/>
      <c r="D8" s="339"/>
      <c r="E8" s="13"/>
      <c r="F8" s="167" t="s">
        <v>419</v>
      </c>
      <c r="G8" s="13"/>
    </row>
    <row r="9" spans="1:7" s="8" customFormat="1" ht="44.25" customHeight="1" thickTop="1" thickBot="1" x14ac:dyDescent="0.25">
      <c r="A9" s="42" t="s">
        <v>136</v>
      </c>
      <c r="B9" s="337" t="s">
        <v>191</v>
      </c>
      <c r="C9" s="338"/>
      <c r="D9" s="339"/>
      <c r="E9" s="13"/>
      <c r="F9" s="167" t="s">
        <v>509</v>
      </c>
      <c r="G9" s="13"/>
    </row>
    <row r="10" spans="1:7" ht="12.75" customHeight="1" thickTop="1" x14ac:dyDescent="0.2">
      <c r="A10" s="43" t="s">
        <v>0</v>
      </c>
      <c r="B10" s="328" t="s">
        <v>154</v>
      </c>
      <c r="C10" s="329"/>
      <c r="D10" s="330"/>
      <c r="E10" s="13"/>
      <c r="F10" s="169" t="s">
        <v>420</v>
      </c>
      <c r="G10" s="13"/>
    </row>
    <row r="11" spans="1:7" x14ac:dyDescent="0.2">
      <c r="A11" s="43" t="s">
        <v>1</v>
      </c>
      <c r="B11" s="328" t="s">
        <v>153</v>
      </c>
      <c r="C11" s="329"/>
      <c r="D11" s="330"/>
      <c r="E11" s="13"/>
      <c r="F11" s="169" t="s">
        <v>486</v>
      </c>
      <c r="G11" s="13"/>
    </row>
    <row r="12" spans="1:7" ht="12.75" customHeight="1" thickBot="1" x14ac:dyDescent="0.25">
      <c r="A12" s="44" t="s">
        <v>2</v>
      </c>
      <c r="B12" s="331" t="s">
        <v>155</v>
      </c>
      <c r="C12" s="332"/>
      <c r="D12" s="333"/>
      <c r="E12" s="13"/>
      <c r="F12" s="170">
        <v>3802</v>
      </c>
      <c r="G12" s="13"/>
    </row>
    <row r="13" spans="1:7" ht="13.5" thickTop="1" x14ac:dyDescent="0.2">
      <c r="A13" s="43" t="s">
        <v>3</v>
      </c>
      <c r="B13" s="328" t="s">
        <v>157</v>
      </c>
      <c r="C13" s="329"/>
      <c r="D13" s="330"/>
      <c r="E13" s="13"/>
      <c r="F13" s="169" t="s">
        <v>420</v>
      </c>
      <c r="G13" s="13"/>
    </row>
    <row r="14" spans="1:7" x14ac:dyDescent="0.2">
      <c r="A14" s="43" t="s">
        <v>4</v>
      </c>
      <c r="B14" s="328" t="s">
        <v>156</v>
      </c>
      <c r="C14" s="329"/>
      <c r="D14" s="330"/>
      <c r="E14" s="13"/>
      <c r="F14" s="169" t="s">
        <v>475</v>
      </c>
      <c r="G14" s="13"/>
    </row>
    <row r="15" spans="1:7" ht="15.75" customHeight="1" thickBot="1" x14ac:dyDescent="0.25">
      <c r="A15" s="45" t="s">
        <v>5</v>
      </c>
      <c r="B15" s="331" t="s">
        <v>158</v>
      </c>
      <c r="C15" s="332"/>
      <c r="D15" s="333"/>
      <c r="E15" s="13"/>
      <c r="F15" s="172">
        <v>3802</v>
      </c>
      <c r="G15" s="13"/>
    </row>
    <row r="16" spans="1:7" ht="29.25" customHeight="1" thickTop="1" x14ac:dyDescent="0.2">
      <c r="A16" s="43" t="s">
        <v>101</v>
      </c>
      <c r="B16" s="334" t="s">
        <v>160</v>
      </c>
      <c r="C16" s="335"/>
      <c r="D16" s="336"/>
      <c r="E16" s="13"/>
      <c r="F16" s="173">
        <v>100</v>
      </c>
      <c r="G16" s="13"/>
    </row>
    <row r="17" spans="1:7" ht="30.75" customHeight="1" thickBot="1" x14ac:dyDescent="0.25">
      <c r="A17" s="45" t="s">
        <v>43</v>
      </c>
      <c r="B17" s="331" t="s">
        <v>159</v>
      </c>
      <c r="C17" s="332"/>
      <c r="D17" s="333"/>
      <c r="E17" s="13"/>
      <c r="F17" s="172" t="s">
        <v>334</v>
      </c>
      <c r="G17" s="13"/>
    </row>
    <row r="18" spans="1:7" s="10" customFormat="1" ht="14.25" thickTop="1" thickBot="1" x14ac:dyDescent="0.25">
      <c r="C18" s="11"/>
      <c r="D18" s="11"/>
      <c r="E18" s="11"/>
      <c r="F18" s="175"/>
      <c r="G18" s="11"/>
    </row>
    <row r="19" spans="1:7" s="12" customFormat="1" ht="16.5" customHeight="1" thickBot="1" x14ac:dyDescent="0.25">
      <c r="A19" s="346" t="s">
        <v>150</v>
      </c>
      <c r="B19" s="347"/>
      <c r="C19" s="347"/>
      <c r="D19" s="348"/>
      <c r="E19" s="36"/>
      <c r="F19" s="181" t="s">
        <v>420</v>
      </c>
      <c r="G19" s="36"/>
    </row>
    <row r="20" spans="1:7" s="4" customFormat="1" ht="15" customHeight="1" thickBot="1" x14ac:dyDescent="0.3">
      <c r="A20" s="55" t="s">
        <v>6</v>
      </c>
      <c r="B20" s="31" t="s">
        <v>165</v>
      </c>
      <c r="C20" s="33"/>
      <c r="D20" s="48"/>
      <c r="E20" s="37"/>
      <c r="F20" s="188" t="s">
        <v>19</v>
      </c>
      <c r="G20" s="37"/>
    </row>
    <row r="21" spans="1:7" ht="56.25" customHeight="1" x14ac:dyDescent="0.2">
      <c r="A21" s="46" t="s">
        <v>42</v>
      </c>
      <c r="B21" s="349" t="s">
        <v>161</v>
      </c>
      <c r="C21" s="350"/>
      <c r="D21" s="351"/>
      <c r="E21" s="13"/>
      <c r="F21" s="197">
        <f>157800*('PPI Adj'!D6)</f>
        <v>184152.6</v>
      </c>
      <c r="G21" s="13"/>
    </row>
    <row r="22" spans="1:7" ht="33" customHeight="1" thickBot="1" x14ac:dyDescent="0.25">
      <c r="A22" s="47" t="s">
        <v>41</v>
      </c>
      <c r="B22" s="370" t="s">
        <v>163</v>
      </c>
      <c r="C22" s="371"/>
      <c r="D22" s="372"/>
      <c r="E22" s="1"/>
      <c r="F22" s="179">
        <v>22</v>
      </c>
      <c r="G22" s="1"/>
    </row>
    <row r="23" spans="1:7" ht="13.5" thickBot="1" x14ac:dyDescent="0.25">
      <c r="A23" s="58"/>
      <c r="B23" s="1"/>
      <c r="C23" s="1"/>
      <c r="D23" s="1"/>
      <c r="E23" s="1"/>
      <c r="F23" s="180"/>
      <c r="G23" s="1"/>
    </row>
    <row r="24" spans="1:7" s="8" customFormat="1" ht="15.75" customHeight="1" thickBot="1" x14ac:dyDescent="0.25">
      <c r="A24" s="373" t="s">
        <v>164</v>
      </c>
      <c r="B24" s="374"/>
      <c r="C24" s="374"/>
      <c r="D24" s="375"/>
      <c r="E24" s="38"/>
      <c r="F24" s="181" t="s">
        <v>420</v>
      </c>
      <c r="G24" s="38"/>
    </row>
    <row r="25" spans="1:7" s="3" customFormat="1" ht="15" customHeight="1" thickBot="1" x14ac:dyDescent="0.3">
      <c r="A25" s="55" t="s">
        <v>6</v>
      </c>
      <c r="B25" s="56" t="s">
        <v>7</v>
      </c>
      <c r="C25" s="376" t="s">
        <v>165</v>
      </c>
      <c r="D25" s="377"/>
      <c r="E25" s="39"/>
      <c r="F25" s="188" t="s">
        <v>19</v>
      </c>
      <c r="G25" s="39"/>
    </row>
    <row r="26" spans="1:7" s="13" customFormat="1" ht="67.5" customHeight="1" thickBot="1" x14ac:dyDescent="0.3">
      <c r="A26" s="49" t="s">
        <v>8</v>
      </c>
      <c r="B26" s="30" t="s">
        <v>485</v>
      </c>
      <c r="C26" s="352" t="s">
        <v>118</v>
      </c>
      <c r="D26" s="353"/>
      <c r="E26" s="34"/>
      <c r="F26" s="174">
        <v>33000</v>
      </c>
      <c r="G26" s="34"/>
    </row>
    <row r="27" spans="1:7" s="13" customFormat="1" x14ac:dyDescent="0.25">
      <c r="A27" s="354" t="s">
        <v>21</v>
      </c>
      <c r="B27" s="356" t="s">
        <v>500</v>
      </c>
      <c r="C27" s="358" t="s">
        <v>67</v>
      </c>
      <c r="D27" s="359"/>
      <c r="E27" s="34"/>
      <c r="F27" s="183">
        <v>12</v>
      </c>
      <c r="G27" s="34"/>
    </row>
    <row r="28" spans="1:7" s="13" customFormat="1" ht="13.5" thickBot="1" x14ac:dyDescent="0.3">
      <c r="A28" s="355"/>
      <c r="B28" s="357"/>
      <c r="C28" s="352" t="s">
        <v>68</v>
      </c>
      <c r="D28" s="353"/>
      <c r="E28" s="34"/>
      <c r="F28" s="174">
        <v>72</v>
      </c>
      <c r="G28" s="34"/>
    </row>
    <row r="29" spans="1:7" s="13" customFormat="1" ht="13.5" thickBot="1" x14ac:dyDescent="0.3">
      <c r="A29" s="50" t="s">
        <v>123</v>
      </c>
      <c r="B29" s="30" t="s">
        <v>108</v>
      </c>
      <c r="C29" s="368"/>
      <c r="D29" s="369"/>
      <c r="E29" s="35"/>
      <c r="F29" s="184"/>
      <c r="G29" s="35"/>
    </row>
    <row r="30" spans="1:7" s="13" customFormat="1" x14ac:dyDescent="0.25">
      <c r="A30" s="354" t="s">
        <v>59</v>
      </c>
      <c r="B30" s="356"/>
      <c r="C30" s="358" t="s">
        <v>58</v>
      </c>
      <c r="D30" s="359"/>
      <c r="E30" s="34"/>
      <c r="F30" s="183">
        <v>245</v>
      </c>
      <c r="G30" s="34"/>
    </row>
    <row r="31" spans="1:7" s="13" customFormat="1" x14ac:dyDescent="0.25">
      <c r="A31" s="362"/>
      <c r="B31" s="363"/>
      <c r="C31" s="364" t="s">
        <v>57</v>
      </c>
      <c r="D31" s="365"/>
      <c r="E31" s="34"/>
      <c r="F31" s="169">
        <v>461.05</v>
      </c>
      <c r="G31" s="34"/>
    </row>
    <row r="32" spans="1:7" s="13" customFormat="1" x14ac:dyDescent="0.25">
      <c r="A32" s="362"/>
      <c r="B32" s="363"/>
      <c r="C32" s="364" t="s">
        <v>69</v>
      </c>
      <c r="D32" s="365"/>
      <c r="E32" s="34"/>
      <c r="F32" s="169">
        <v>90.75</v>
      </c>
      <c r="G32" s="34"/>
    </row>
    <row r="33" spans="1:7" s="13" customFormat="1" x14ac:dyDescent="0.25">
      <c r="A33" s="362"/>
      <c r="B33" s="363"/>
      <c r="C33" s="366" t="s">
        <v>70</v>
      </c>
      <c r="D33" s="367"/>
      <c r="E33" s="34"/>
      <c r="F33" s="169">
        <v>77</v>
      </c>
      <c r="G33" s="34"/>
    </row>
    <row r="34" spans="1:7" s="13" customFormat="1" ht="13.5" thickBot="1" x14ac:dyDescent="0.3">
      <c r="A34" s="355"/>
      <c r="B34" s="357"/>
      <c r="C34" s="352" t="s">
        <v>111</v>
      </c>
      <c r="D34" s="353"/>
      <c r="E34" s="34"/>
      <c r="F34" s="174">
        <v>339.25</v>
      </c>
      <c r="G34" s="34"/>
    </row>
    <row r="35" spans="1:7" s="13" customFormat="1" x14ac:dyDescent="0.25">
      <c r="A35" s="354" t="s">
        <v>11</v>
      </c>
      <c r="B35" s="356"/>
      <c r="C35" s="358" t="s">
        <v>24</v>
      </c>
      <c r="D35" s="359"/>
      <c r="E35" s="34"/>
      <c r="F35" s="183">
        <v>12350</v>
      </c>
      <c r="G35" s="34"/>
    </row>
    <row r="36" spans="1:7" s="13" customFormat="1" ht="13.5" thickBot="1" x14ac:dyDescent="0.3">
      <c r="A36" s="355"/>
      <c r="B36" s="357"/>
      <c r="C36" s="352" t="s">
        <v>22</v>
      </c>
      <c r="D36" s="353"/>
      <c r="E36" s="34"/>
      <c r="F36" s="174">
        <v>13200</v>
      </c>
      <c r="G36" s="34"/>
    </row>
    <row r="37" spans="1:7" s="13" customFormat="1" x14ac:dyDescent="0.25">
      <c r="A37" s="354" t="s">
        <v>16</v>
      </c>
      <c r="B37" s="356"/>
      <c r="C37" s="358" t="s">
        <v>24</v>
      </c>
      <c r="D37" s="359"/>
      <c r="E37" s="34"/>
      <c r="F37" s="183">
        <v>21000</v>
      </c>
      <c r="G37" s="34"/>
    </row>
    <row r="38" spans="1:7" s="13" customFormat="1" ht="13.5" thickBot="1" x14ac:dyDescent="0.3">
      <c r="A38" s="355"/>
      <c r="B38" s="357"/>
      <c r="C38" s="360" t="s">
        <v>23</v>
      </c>
      <c r="D38" s="361"/>
      <c r="E38" s="34"/>
      <c r="F38" s="174">
        <v>21000</v>
      </c>
      <c r="G38" s="34"/>
    </row>
    <row r="39" spans="1:7" s="13" customFormat="1" ht="17.45" customHeight="1" thickBot="1" x14ac:dyDescent="0.3">
      <c r="A39" s="50" t="s">
        <v>52</v>
      </c>
      <c r="B39" s="30" t="s">
        <v>53</v>
      </c>
      <c r="C39" s="368"/>
      <c r="D39" s="369"/>
      <c r="E39" s="35"/>
      <c r="F39" s="184"/>
      <c r="G39" s="35"/>
    </row>
    <row r="40" spans="1:7" s="13" customFormat="1" x14ac:dyDescent="0.25">
      <c r="A40" s="354" t="s">
        <v>219</v>
      </c>
      <c r="B40" s="356" t="s">
        <v>222</v>
      </c>
      <c r="C40" s="358" t="s">
        <v>221</v>
      </c>
      <c r="D40" s="359"/>
      <c r="E40" s="34"/>
      <c r="F40" s="183" t="s">
        <v>257</v>
      </c>
      <c r="G40" s="34"/>
    </row>
    <row r="41" spans="1:7" s="13" customFormat="1" ht="14.45" customHeight="1" x14ac:dyDescent="0.25">
      <c r="A41" s="362"/>
      <c r="B41" s="363"/>
      <c r="C41" s="364" t="s">
        <v>220</v>
      </c>
      <c r="D41" s="365"/>
      <c r="E41" s="34"/>
      <c r="F41" s="169" t="s">
        <v>425</v>
      </c>
      <c r="G41" s="34"/>
    </row>
    <row r="42" spans="1:7" s="13" customFormat="1" ht="74.099999999999994" customHeight="1" thickBot="1" x14ac:dyDescent="0.3">
      <c r="A42" s="355"/>
      <c r="B42" s="363"/>
      <c r="C42" s="360"/>
      <c r="D42" s="361"/>
      <c r="E42" s="34"/>
      <c r="F42" s="171"/>
      <c r="G42" s="34"/>
    </row>
    <row r="43" spans="1:7" s="13" customFormat="1" ht="30.95" customHeight="1" thickBot="1" x14ac:dyDescent="0.3">
      <c r="A43" s="50" t="s">
        <v>219</v>
      </c>
      <c r="B43" s="30" t="s">
        <v>218</v>
      </c>
      <c r="C43" s="368"/>
      <c r="D43" s="369"/>
      <c r="E43" s="35"/>
      <c r="F43" s="184"/>
      <c r="G43" s="35"/>
    </row>
    <row r="44" spans="1:7" s="13" customFormat="1" ht="13.5" thickBot="1" x14ac:dyDescent="0.3">
      <c r="A44" s="378" t="s">
        <v>12</v>
      </c>
      <c r="B44" s="379" t="s">
        <v>142</v>
      </c>
      <c r="C44" s="358" t="s">
        <v>174</v>
      </c>
      <c r="D44" s="359"/>
      <c r="E44" s="34"/>
      <c r="F44" s="183" t="s">
        <v>278</v>
      </c>
      <c r="G44" s="34"/>
    </row>
    <row r="45" spans="1:7" s="13" customFormat="1" ht="13.5" thickBot="1" x14ac:dyDescent="0.3">
      <c r="A45" s="378"/>
      <c r="B45" s="379"/>
      <c r="C45" s="364" t="s">
        <v>175</v>
      </c>
      <c r="D45" s="365"/>
      <c r="E45" s="34"/>
      <c r="F45" s="169">
        <v>6610</v>
      </c>
      <c r="G45" s="34"/>
    </row>
    <row r="46" spans="1:7" s="13" customFormat="1" ht="13.5" thickBot="1" x14ac:dyDescent="0.3">
      <c r="A46" s="378"/>
      <c r="B46" s="379"/>
      <c r="C46" s="364" t="s">
        <v>176</v>
      </c>
      <c r="D46" s="365"/>
      <c r="E46" s="34"/>
      <c r="F46" s="185" t="s">
        <v>278</v>
      </c>
      <c r="G46" s="34"/>
    </row>
    <row r="47" spans="1:7" s="13" customFormat="1" ht="13.5" thickBot="1" x14ac:dyDescent="0.3">
      <c r="A47" s="378"/>
      <c r="B47" s="379"/>
      <c r="C47" s="364" t="s">
        <v>177</v>
      </c>
      <c r="D47" s="365"/>
      <c r="E47" s="34"/>
      <c r="F47" s="169">
        <v>6005</v>
      </c>
      <c r="G47" s="34"/>
    </row>
    <row r="48" spans="1:7" s="13" customFormat="1" ht="13.5" thickBot="1" x14ac:dyDescent="0.3">
      <c r="A48" s="378"/>
      <c r="B48" s="379"/>
      <c r="C48" s="364" t="s">
        <v>112</v>
      </c>
      <c r="D48" s="365"/>
      <c r="E48" s="34"/>
      <c r="F48" s="169" t="s">
        <v>426</v>
      </c>
      <c r="G48" s="34"/>
    </row>
    <row r="49" spans="1:7" s="13" customFormat="1" ht="13.5" thickBot="1" x14ac:dyDescent="0.3">
      <c r="A49" s="378"/>
      <c r="B49" s="379"/>
      <c r="C49" s="364" t="s">
        <v>113</v>
      </c>
      <c r="D49" s="365"/>
      <c r="E49" s="34"/>
      <c r="F49" s="169" t="s">
        <v>493</v>
      </c>
      <c r="G49" s="34"/>
    </row>
    <row r="50" spans="1:7" s="13" customFormat="1" ht="13.5" thickBot="1" x14ac:dyDescent="0.3">
      <c r="A50" s="378"/>
      <c r="B50" s="379"/>
      <c r="C50" s="366" t="s">
        <v>114</v>
      </c>
      <c r="D50" s="367"/>
      <c r="E50" s="34"/>
      <c r="F50" s="169" t="s">
        <v>426</v>
      </c>
      <c r="G50" s="34"/>
    </row>
    <row r="51" spans="1:7" s="13" customFormat="1" ht="13.5" thickBot="1" x14ac:dyDescent="0.3">
      <c r="A51" s="378"/>
      <c r="B51" s="379"/>
      <c r="C51" s="352" t="s">
        <v>115</v>
      </c>
      <c r="D51" s="353"/>
      <c r="E51" s="34"/>
      <c r="F51" s="174" t="s">
        <v>493</v>
      </c>
      <c r="G51" s="34"/>
    </row>
    <row r="52" spans="1:7" s="13" customFormat="1" x14ac:dyDescent="0.25">
      <c r="A52" s="354" t="s">
        <v>10</v>
      </c>
      <c r="B52" s="356" t="s">
        <v>217</v>
      </c>
      <c r="C52" s="358" t="s">
        <v>116</v>
      </c>
      <c r="D52" s="359"/>
      <c r="E52" s="34"/>
      <c r="F52" s="183">
        <v>5</v>
      </c>
      <c r="G52" s="34"/>
    </row>
    <row r="53" spans="1:7" s="13" customFormat="1" x14ac:dyDescent="0.25">
      <c r="A53" s="362"/>
      <c r="B53" s="363"/>
      <c r="C53" s="364" t="s">
        <v>117</v>
      </c>
      <c r="D53" s="365"/>
      <c r="E53" s="34"/>
      <c r="F53" s="169" t="s">
        <v>494</v>
      </c>
      <c r="G53" s="34"/>
    </row>
    <row r="54" spans="1:7" s="13" customFormat="1" ht="26.25" thickBot="1" x14ac:dyDescent="0.3">
      <c r="A54" s="362"/>
      <c r="B54" s="363"/>
      <c r="C54" s="360" t="s">
        <v>71</v>
      </c>
      <c r="D54" s="361"/>
      <c r="E54" s="34"/>
      <c r="F54" s="171" t="s">
        <v>495</v>
      </c>
      <c r="G54" s="34"/>
    </row>
    <row r="55" spans="1:7" s="13" customFormat="1" ht="80.099999999999994" customHeight="1" thickBot="1" x14ac:dyDescent="0.3">
      <c r="A55" s="51" t="s">
        <v>9</v>
      </c>
      <c r="B55" s="28" t="s">
        <v>256</v>
      </c>
      <c r="C55" s="366"/>
      <c r="D55" s="367"/>
      <c r="E55" s="34"/>
      <c r="F55" s="183"/>
      <c r="G55" s="34"/>
    </row>
    <row r="56" spans="1:7" s="13" customFormat="1" ht="29.45" customHeight="1" thickBot="1" x14ac:dyDescent="0.3">
      <c r="A56" s="50" t="s">
        <v>255</v>
      </c>
      <c r="B56" s="28" t="s">
        <v>254</v>
      </c>
      <c r="C56" s="368"/>
      <c r="D56" s="369"/>
      <c r="E56" s="35"/>
      <c r="F56" s="186"/>
      <c r="G56" s="35"/>
    </row>
    <row r="57" spans="1:7" s="13" customFormat="1" ht="25.5" x14ac:dyDescent="0.25">
      <c r="A57" s="354" t="s">
        <v>25</v>
      </c>
      <c r="B57" s="356" t="s">
        <v>93</v>
      </c>
      <c r="C57" s="358" t="s">
        <v>72</v>
      </c>
      <c r="D57" s="359"/>
      <c r="E57" s="34"/>
      <c r="F57" s="183" t="s">
        <v>510</v>
      </c>
      <c r="G57" s="34"/>
    </row>
    <row r="58" spans="1:7" s="13" customFormat="1" ht="60.6" customHeight="1" thickBot="1" x14ac:dyDescent="0.3">
      <c r="A58" s="355"/>
      <c r="B58" s="357"/>
      <c r="C58" s="352" t="s">
        <v>73</v>
      </c>
      <c r="D58" s="353"/>
      <c r="E58" s="34"/>
      <c r="F58" s="174">
        <v>350</v>
      </c>
      <c r="G58" s="34"/>
    </row>
    <row r="59" spans="1:7" s="13" customFormat="1" x14ac:dyDescent="0.25">
      <c r="A59" s="354" t="s">
        <v>26</v>
      </c>
      <c r="B59" s="356" t="s">
        <v>253</v>
      </c>
      <c r="C59" s="358" t="s">
        <v>74</v>
      </c>
      <c r="D59" s="359"/>
      <c r="E59" s="34"/>
      <c r="F59" s="183" t="s">
        <v>431</v>
      </c>
      <c r="G59" s="34"/>
    </row>
    <row r="60" spans="1:7" s="13" customFormat="1" x14ac:dyDescent="0.25">
      <c r="A60" s="362"/>
      <c r="B60" s="363"/>
      <c r="C60" s="364" t="s">
        <v>75</v>
      </c>
      <c r="D60" s="365"/>
      <c r="E60" s="34"/>
      <c r="F60" s="169">
        <v>3</v>
      </c>
      <c r="G60" s="34"/>
    </row>
    <row r="61" spans="1:7" s="13" customFormat="1" ht="32.25" customHeight="1" thickBot="1" x14ac:dyDescent="0.3">
      <c r="A61" s="355"/>
      <c r="B61" s="357"/>
      <c r="C61" s="352" t="s">
        <v>252</v>
      </c>
      <c r="D61" s="353"/>
      <c r="E61" s="34"/>
      <c r="F61" s="174">
        <v>700</v>
      </c>
      <c r="G61" s="34"/>
    </row>
    <row r="62" spans="1:7" s="13" customFormat="1" ht="16.5" customHeight="1" thickBot="1" x14ac:dyDescent="0.3">
      <c r="A62" s="50" t="s">
        <v>44</v>
      </c>
      <c r="B62" s="30" t="s">
        <v>45</v>
      </c>
      <c r="C62" s="368"/>
      <c r="D62" s="369"/>
      <c r="E62" s="35"/>
      <c r="F62" s="186"/>
      <c r="G62" s="35"/>
    </row>
    <row r="63" spans="1:7" s="13" customFormat="1" ht="28.5" customHeight="1" thickBot="1" x14ac:dyDescent="0.3">
      <c r="A63" s="50" t="s">
        <v>44</v>
      </c>
      <c r="B63" s="30" t="s">
        <v>63</v>
      </c>
      <c r="C63" s="368"/>
      <c r="D63" s="369"/>
      <c r="E63" s="35"/>
      <c r="F63" s="186"/>
      <c r="G63" s="35"/>
    </row>
    <row r="64" spans="1:7" s="13" customFormat="1" ht="29.1" customHeight="1" thickBot="1" x14ac:dyDescent="0.3">
      <c r="A64" s="50" t="s">
        <v>44</v>
      </c>
      <c r="B64" s="30" t="s">
        <v>64</v>
      </c>
      <c r="C64" s="368"/>
      <c r="D64" s="369"/>
      <c r="E64" s="35"/>
      <c r="F64" s="186"/>
      <c r="G64" s="35"/>
    </row>
    <row r="65" spans="1:7" s="13" customFormat="1" ht="27.95" customHeight="1" thickBot="1" x14ac:dyDescent="0.3">
      <c r="A65" s="50" t="s">
        <v>50</v>
      </c>
      <c r="B65" s="30" t="s">
        <v>216</v>
      </c>
      <c r="C65" s="368"/>
      <c r="D65" s="369"/>
      <c r="E65" s="35"/>
      <c r="F65" s="186"/>
      <c r="G65" s="35"/>
    </row>
    <row r="66" spans="1:7" s="13" customFormat="1" ht="15.95" customHeight="1" thickBot="1" x14ac:dyDescent="0.3">
      <c r="A66" s="50" t="s">
        <v>27</v>
      </c>
      <c r="B66" s="30" t="s">
        <v>215</v>
      </c>
      <c r="C66" s="380" t="s">
        <v>77</v>
      </c>
      <c r="D66" s="381"/>
      <c r="E66" s="34"/>
      <c r="F66" s="184" t="s">
        <v>496</v>
      </c>
      <c r="G66" s="34"/>
    </row>
    <row r="67" spans="1:7" s="13" customFormat="1" ht="54.6" customHeight="1" thickBot="1" x14ac:dyDescent="0.3">
      <c r="A67" s="50" t="s">
        <v>214</v>
      </c>
      <c r="B67" s="30" t="s">
        <v>213</v>
      </c>
      <c r="C67" s="380"/>
      <c r="D67" s="381"/>
      <c r="E67" s="34"/>
      <c r="F67" s="184"/>
      <c r="G67" s="34"/>
    </row>
    <row r="68" spans="1:7" s="13" customFormat="1" ht="15" customHeight="1" x14ac:dyDescent="0.25">
      <c r="A68" s="354" t="s">
        <v>28</v>
      </c>
      <c r="B68" s="356" t="s">
        <v>265</v>
      </c>
      <c r="C68" s="425" t="s">
        <v>250</v>
      </c>
      <c r="D68" s="359"/>
      <c r="E68" s="34"/>
      <c r="F68" s="183" t="s">
        <v>455</v>
      </c>
      <c r="G68" s="34"/>
    </row>
    <row r="69" spans="1:7" s="13" customFormat="1" ht="29.25" customHeight="1" thickBot="1" x14ac:dyDescent="0.3">
      <c r="A69" s="355"/>
      <c r="B69" s="357"/>
      <c r="C69" s="426" t="s">
        <v>249</v>
      </c>
      <c r="D69" s="353"/>
      <c r="E69" s="34"/>
      <c r="F69" s="174" t="s">
        <v>505</v>
      </c>
      <c r="G69" s="34"/>
    </row>
    <row r="70" spans="1:7" s="13" customFormat="1" ht="42" customHeight="1" thickBot="1" x14ac:dyDescent="0.3">
      <c r="A70" s="50" t="s">
        <v>51</v>
      </c>
      <c r="B70" s="30" t="s">
        <v>212</v>
      </c>
      <c r="C70" s="368"/>
      <c r="D70" s="369"/>
      <c r="E70" s="35"/>
      <c r="F70" s="184"/>
      <c r="G70" s="35"/>
    </row>
    <row r="71" spans="1:7" s="13" customFormat="1" ht="42" customHeight="1" thickBot="1" x14ac:dyDescent="0.3">
      <c r="A71" s="50" t="s">
        <v>54</v>
      </c>
      <c r="B71" s="30" t="s">
        <v>80</v>
      </c>
      <c r="C71" s="368"/>
      <c r="D71" s="369"/>
      <c r="E71" s="35"/>
      <c r="F71" s="184"/>
      <c r="G71" s="35"/>
    </row>
    <row r="72" spans="1:7" s="13" customFormat="1" ht="79.5" customHeight="1" thickBot="1" x14ac:dyDescent="0.3">
      <c r="A72" s="50" t="s">
        <v>29</v>
      </c>
      <c r="B72" s="30" t="s">
        <v>211</v>
      </c>
      <c r="C72" s="368"/>
      <c r="D72" s="369"/>
      <c r="E72" s="35"/>
      <c r="F72" s="184"/>
      <c r="G72" s="35"/>
    </row>
    <row r="73" spans="1:7" s="13" customFormat="1" ht="53.1" customHeight="1" thickBot="1" x14ac:dyDescent="0.3">
      <c r="A73" s="50" t="s">
        <v>31</v>
      </c>
      <c r="B73" s="30" t="s">
        <v>210</v>
      </c>
      <c r="C73" s="380" t="s">
        <v>30</v>
      </c>
      <c r="D73" s="381"/>
      <c r="E73" s="34"/>
      <c r="F73" s="184" t="s">
        <v>435</v>
      </c>
      <c r="G73" s="34"/>
    </row>
    <row r="74" spans="1:7" s="13" customFormat="1" ht="28.5" customHeight="1" thickBot="1" x14ac:dyDescent="0.3">
      <c r="A74" s="50" t="s">
        <v>55</v>
      </c>
      <c r="B74" s="30" t="s">
        <v>95</v>
      </c>
      <c r="C74" s="368"/>
      <c r="D74" s="369"/>
      <c r="E74" s="35"/>
      <c r="F74" s="184"/>
      <c r="G74" s="35"/>
    </row>
    <row r="75" spans="1:7" s="13" customFormat="1" ht="30" customHeight="1" thickBot="1" x14ac:dyDescent="0.3">
      <c r="A75" s="50" t="s">
        <v>32</v>
      </c>
      <c r="B75" s="30" t="s">
        <v>96</v>
      </c>
      <c r="C75" s="380" t="s">
        <v>30</v>
      </c>
      <c r="D75" s="381"/>
      <c r="E75" s="34"/>
      <c r="F75" s="184" t="s">
        <v>436</v>
      </c>
      <c r="G75" s="34"/>
    </row>
    <row r="76" spans="1:7" s="13" customFormat="1" ht="40.5" customHeight="1" thickBot="1" x14ac:dyDescent="0.3">
      <c r="A76" s="50" t="s">
        <v>56</v>
      </c>
      <c r="B76" s="30" t="s">
        <v>167</v>
      </c>
      <c r="C76" s="368"/>
      <c r="D76" s="369"/>
      <c r="E76" s="35"/>
      <c r="F76" s="184"/>
      <c r="G76" s="35"/>
    </row>
    <row r="77" spans="1:7" s="13" customFormat="1" ht="29.45" customHeight="1" thickBot="1" x14ac:dyDescent="0.3">
      <c r="A77" s="50" t="s">
        <v>48</v>
      </c>
      <c r="B77" s="30" t="s">
        <v>47</v>
      </c>
      <c r="C77" s="368"/>
      <c r="D77" s="369"/>
      <c r="E77" s="35"/>
      <c r="F77" s="184"/>
      <c r="G77" s="35"/>
    </row>
    <row r="78" spans="1:7" s="13" customFormat="1" ht="28.5" customHeight="1" thickBot="1" x14ac:dyDescent="0.3">
      <c r="A78" s="50" t="s">
        <v>49</v>
      </c>
      <c r="B78" s="30" t="s">
        <v>103</v>
      </c>
      <c r="C78" s="368"/>
      <c r="D78" s="369"/>
      <c r="E78" s="35"/>
      <c r="F78" s="184"/>
      <c r="G78" s="35"/>
    </row>
    <row r="79" spans="1:7" s="13" customFormat="1" ht="26.25" thickBot="1" x14ac:dyDescent="0.3">
      <c r="A79" s="50" t="s">
        <v>46</v>
      </c>
      <c r="B79" s="30" t="s">
        <v>484</v>
      </c>
      <c r="C79" s="368"/>
      <c r="D79" s="369"/>
      <c r="E79" s="35"/>
      <c r="F79" s="184"/>
      <c r="G79" s="35"/>
    </row>
    <row r="80" spans="1:7" ht="13.5" thickBot="1" x14ac:dyDescent="0.25"/>
    <row r="81" spans="1:6" s="17" customFormat="1" ht="18" customHeight="1" thickBot="1" x14ac:dyDescent="0.3">
      <c r="A81" s="373" t="s">
        <v>168</v>
      </c>
      <c r="B81" s="374"/>
      <c r="C81" s="374"/>
      <c r="D81" s="375"/>
      <c r="E81" s="38"/>
      <c r="F81" s="181" t="s">
        <v>420</v>
      </c>
    </row>
    <row r="82" spans="1:6" s="3" customFormat="1" ht="15" customHeight="1" thickBot="1" x14ac:dyDescent="0.3">
      <c r="A82" s="382" t="s">
        <v>169</v>
      </c>
      <c r="B82" s="383"/>
      <c r="C82" s="383"/>
      <c r="D82" s="384"/>
      <c r="E82" s="39"/>
      <c r="F82" s="188" t="s">
        <v>19</v>
      </c>
    </row>
    <row r="83" spans="1:6" s="13" customFormat="1" ht="12.75" customHeight="1" x14ac:dyDescent="0.25">
      <c r="A83" s="385" t="s">
        <v>83</v>
      </c>
      <c r="B83" s="386"/>
      <c r="C83" s="386"/>
      <c r="D83" s="387"/>
      <c r="E83" s="35"/>
      <c r="F83" s="189">
        <f>-1337.32*('PPI Adj'!D6)</f>
        <v>-1560.6524400000001</v>
      </c>
    </row>
    <row r="84" spans="1:6" s="13" customFormat="1" ht="12.75" customHeight="1" x14ac:dyDescent="0.25">
      <c r="A84" s="388" t="s">
        <v>34</v>
      </c>
      <c r="B84" s="389"/>
      <c r="C84" s="389"/>
      <c r="D84" s="390"/>
      <c r="E84" s="34"/>
      <c r="F84" s="190">
        <f>544.44*('PPI Adj'!D6)</f>
        <v>635.36148000000003</v>
      </c>
    </row>
    <row r="85" spans="1:6" s="13" customFormat="1" x14ac:dyDescent="0.25">
      <c r="A85" s="388" t="s">
        <v>35</v>
      </c>
      <c r="B85" s="389"/>
      <c r="C85" s="389"/>
      <c r="D85" s="390"/>
      <c r="E85" s="35"/>
      <c r="F85" s="190">
        <f>696.15*('PPI Adj'!D6)</f>
        <v>812.40705000000003</v>
      </c>
    </row>
    <row r="86" spans="1:6" s="13" customFormat="1" x14ac:dyDescent="0.25">
      <c r="A86" s="388" t="s">
        <v>36</v>
      </c>
      <c r="B86" s="389"/>
      <c r="C86" s="389"/>
      <c r="D86" s="390"/>
      <c r="E86" s="34"/>
      <c r="F86" s="190">
        <f>1340.82*('PPI Adj'!D6)</f>
        <v>1564.73694</v>
      </c>
    </row>
    <row r="87" spans="1:6" s="13" customFormat="1" x14ac:dyDescent="0.25">
      <c r="A87" s="388" t="s">
        <v>60</v>
      </c>
      <c r="B87" s="389"/>
      <c r="C87" s="389"/>
      <c r="D87" s="390"/>
      <c r="E87" s="34"/>
      <c r="F87" s="190">
        <f>655.98*('PPI Adj'!D6)</f>
        <v>765.52866000000006</v>
      </c>
    </row>
    <row r="88" spans="1:6" s="13" customFormat="1" x14ac:dyDescent="0.25">
      <c r="A88" s="388" t="s">
        <v>61</v>
      </c>
      <c r="B88" s="389"/>
      <c r="C88" s="389"/>
      <c r="D88" s="390"/>
      <c r="E88" s="34"/>
      <c r="F88" s="190" t="s">
        <v>183</v>
      </c>
    </row>
    <row r="89" spans="1:6" s="13" customFormat="1" ht="12.75" customHeight="1" x14ac:dyDescent="0.25">
      <c r="A89" s="388" t="s">
        <v>86</v>
      </c>
      <c r="B89" s="389"/>
      <c r="C89" s="389"/>
      <c r="D89" s="390"/>
      <c r="E89" s="34"/>
      <c r="F89" s="190">
        <f>1202.76*('PPI Adj'!D6)</f>
        <v>1403.6209200000001</v>
      </c>
    </row>
    <row r="90" spans="1:6" ht="12.75" customHeight="1" x14ac:dyDescent="0.2">
      <c r="A90" s="388" t="s">
        <v>85</v>
      </c>
      <c r="B90" s="389"/>
      <c r="C90" s="389"/>
      <c r="D90" s="390"/>
      <c r="E90" s="34"/>
      <c r="F90" s="190" t="s">
        <v>181</v>
      </c>
    </row>
    <row r="91" spans="1:6" x14ac:dyDescent="0.2">
      <c r="A91" s="388" t="s">
        <v>13</v>
      </c>
      <c r="B91" s="389"/>
      <c r="C91" s="389"/>
      <c r="D91" s="390"/>
      <c r="E91" s="34"/>
      <c r="F91" s="190">
        <f>6533.28*('PPI Adj'!D6)</f>
        <v>7624.3377600000003</v>
      </c>
    </row>
    <row r="92" spans="1:6" ht="12.75" customHeight="1" x14ac:dyDescent="0.2">
      <c r="A92" s="388" t="s">
        <v>37</v>
      </c>
      <c r="B92" s="389"/>
      <c r="C92" s="389"/>
      <c r="D92" s="390"/>
      <c r="E92" s="35"/>
      <c r="F92" s="190">
        <f>97.5*('PPI Adj'!D6)</f>
        <v>113.7825</v>
      </c>
    </row>
    <row r="93" spans="1:6" x14ac:dyDescent="0.2">
      <c r="A93" s="388" t="s">
        <v>38</v>
      </c>
      <c r="B93" s="389"/>
      <c r="C93" s="389"/>
      <c r="D93" s="390"/>
      <c r="E93" s="35"/>
      <c r="F93" s="190">
        <f>397.8*('PPI Adj'!D6)</f>
        <v>464.23260000000005</v>
      </c>
    </row>
    <row r="94" spans="1:6" x14ac:dyDescent="0.2">
      <c r="A94" s="388" t="s">
        <v>201</v>
      </c>
      <c r="B94" s="389"/>
      <c r="C94" s="389"/>
      <c r="D94" s="390"/>
      <c r="E94" s="35"/>
      <c r="F94" s="190" t="s">
        <v>183</v>
      </c>
    </row>
    <row r="95" spans="1:6" x14ac:dyDescent="0.2">
      <c r="A95" s="388" t="s">
        <v>39</v>
      </c>
      <c r="B95" s="389"/>
      <c r="C95" s="389"/>
      <c r="D95" s="390"/>
      <c r="E95" s="34"/>
      <c r="F95" s="190">
        <f>666.12*('PPI Adj'!D6)</f>
        <v>777.36203999999998</v>
      </c>
    </row>
    <row r="96" spans="1:6" ht="12.75" customHeight="1" x14ac:dyDescent="0.2">
      <c r="A96" s="388" t="s">
        <v>88</v>
      </c>
      <c r="B96" s="389"/>
      <c r="C96" s="389"/>
      <c r="D96" s="390"/>
      <c r="E96" s="34"/>
      <c r="F96" s="190">
        <f>3939.22*('PPI Adj'!D6)</f>
        <v>4597.0697399999999</v>
      </c>
    </row>
    <row r="97" spans="1:6" x14ac:dyDescent="0.2">
      <c r="A97" s="388" t="s">
        <v>40</v>
      </c>
      <c r="B97" s="389"/>
      <c r="C97" s="389"/>
      <c r="D97" s="390"/>
      <c r="E97" s="34"/>
      <c r="F97" s="190">
        <f>854.88*('PPI Adj'!D6)</f>
        <v>997.64496000000008</v>
      </c>
    </row>
    <row r="98" spans="1:6" x14ac:dyDescent="0.2">
      <c r="A98" s="388" t="s">
        <v>14</v>
      </c>
      <c r="B98" s="389"/>
      <c r="C98" s="389"/>
      <c r="D98" s="390"/>
      <c r="E98" s="34"/>
      <c r="F98" s="190">
        <f>15124.23*('PPI Adj'!D6)</f>
        <v>17649.976409999999</v>
      </c>
    </row>
    <row r="99" spans="1:6" ht="12.75" customHeight="1" x14ac:dyDescent="0.2">
      <c r="A99" s="388" t="s">
        <v>91</v>
      </c>
      <c r="B99" s="389"/>
      <c r="C99" s="389"/>
      <c r="D99" s="390"/>
      <c r="E99" s="34"/>
      <c r="F99" s="190">
        <f>1800*('PPI Adj'!D6)</f>
        <v>2100.6</v>
      </c>
    </row>
    <row r="100" spans="1:6" x14ac:dyDescent="0.2">
      <c r="A100" s="394" t="s">
        <v>275</v>
      </c>
      <c r="B100" s="395"/>
      <c r="C100" s="395"/>
      <c r="D100" s="396"/>
      <c r="E100" s="34"/>
      <c r="F100" s="200">
        <f>-413.21*('PPI Adj'!D6)</f>
        <v>-482.21607</v>
      </c>
    </row>
    <row r="101" spans="1:6" ht="13.5" customHeight="1" thickBot="1" x14ac:dyDescent="0.25">
      <c r="A101" s="391" t="s">
        <v>92</v>
      </c>
      <c r="B101" s="392"/>
      <c r="C101" s="392"/>
      <c r="D101" s="393"/>
      <c r="E101" s="35"/>
      <c r="F101" s="191">
        <f>1013.03*('PPI Adj'!D6)</f>
        <v>1182.2060100000001</v>
      </c>
    </row>
    <row r="102" spans="1:6" ht="13.5" thickBot="1" x14ac:dyDescent="0.25"/>
    <row r="103" spans="1:6" s="17" customFormat="1" ht="18" customHeight="1" thickBot="1" x14ac:dyDescent="0.3">
      <c r="A103" s="373" t="s">
        <v>166</v>
      </c>
      <c r="B103" s="374"/>
      <c r="C103" s="374"/>
      <c r="D103" s="375"/>
      <c r="E103" s="38"/>
      <c r="F103" s="181" t="s">
        <v>420</v>
      </c>
    </row>
    <row r="104" spans="1:6" s="3" customFormat="1" ht="15" customHeight="1" thickBot="1" x14ac:dyDescent="0.3">
      <c r="A104" s="52" t="s">
        <v>33</v>
      </c>
      <c r="B104" s="24" t="s">
        <v>7</v>
      </c>
      <c r="C104" s="397" t="s">
        <v>165</v>
      </c>
      <c r="D104" s="398"/>
      <c r="E104" s="39"/>
      <c r="F104" s="188" t="s">
        <v>19</v>
      </c>
    </row>
    <row r="105" spans="1:6" s="13" customFormat="1" ht="42" customHeight="1" thickBot="1" x14ac:dyDescent="0.3">
      <c r="A105" s="53" t="s">
        <v>83</v>
      </c>
      <c r="B105" s="23" t="s">
        <v>146</v>
      </c>
      <c r="C105" s="399"/>
      <c r="D105" s="400"/>
      <c r="E105" s="35"/>
      <c r="F105" s="184" t="s">
        <v>507</v>
      </c>
    </row>
    <row r="106" spans="1:6" s="13" customFormat="1" ht="26.25" thickBot="1" x14ac:dyDescent="0.3">
      <c r="A106" s="50" t="s">
        <v>34</v>
      </c>
      <c r="B106" s="30" t="s">
        <v>107</v>
      </c>
      <c r="C106" s="380" t="s">
        <v>30</v>
      </c>
      <c r="D106" s="381"/>
      <c r="E106" s="34"/>
      <c r="F106" s="184" t="s">
        <v>439</v>
      </c>
    </row>
    <row r="107" spans="1:6" s="13" customFormat="1" ht="53.45" customHeight="1" thickBot="1" x14ac:dyDescent="0.3">
      <c r="A107" s="50" t="s">
        <v>35</v>
      </c>
      <c r="B107" s="30" t="s">
        <v>97</v>
      </c>
      <c r="C107" s="368"/>
      <c r="D107" s="369"/>
      <c r="E107" s="35"/>
      <c r="F107" s="184"/>
    </row>
    <row r="108" spans="1:6" s="13" customFormat="1" ht="30" customHeight="1" thickBot="1" x14ac:dyDescent="0.3">
      <c r="A108" s="50" t="s">
        <v>36</v>
      </c>
      <c r="B108" s="30" t="s">
        <v>84</v>
      </c>
      <c r="C108" s="380" t="s">
        <v>99</v>
      </c>
      <c r="D108" s="381"/>
      <c r="E108" s="34"/>
      <c r="F108" s="184" t="s">
        <v>441</v>
      </c>
    </row>
    <row r="109" spans="1:6" s="13" customFormat="1" ht="12.75" customHeight="1" x14ac:dyDescent="0.25">
      <c r="A109" s="354" t="s">
        <v>60</v>
      </c>
      <c r="B109" s="356" t="s">
        <v>133</v>
      </c>
      <c r="C109" s="358" t="s">
        <v>203</v>
      </c>
      <c r="D109" s="359"/>
      <c r="E109" s="34"/>
      <c r="F109" s="183" t="s">
        <v>278</v>
      </c>
    </row>
    <row r="110" spans="1:6" s="13" customFormat="1" x14ac:dyDescent="0.25">
      <c r="A110" s="362"/>
      <c r="B110" s="363"/>
      <c r="C110" s="364" t="s">
        <v>202</v>
      </c>
      <c r="D110" s="365"/>
      <c r="E110" s="34"/>
      <c r="F110" s="169">
        <v>6005</v>
      </c>
    </row>
    <row r="111" spans="1:6" s="13" customFormat="1" x14ac:dyDescent="0.25">
      <c r="A111" s="362"/>
      <c r="B111" s="363"/>
      <c r="C111" s="364" t="s">
        <v>114</v>
      </c>
      <c r="D111" s="365"/>
      <c r="E111" s="34"/>
      <c r="F111" s="169" t="s">
        <v>442</v>
      </c>
    </row>
    <row r="112" spans="1:6" s="13" customFormat="1" ht="30.75" customHeight="1" thickBot="1" x14ac:dyDescent="0.3">
      <c r="A112" s="355"/>
      <c r="B112" s="357"/>
      <c r="C112" s="352" t="s">
        <v>115</v>
      </c>
      <c r="D112" s="353"/>
      <c r="E112" s="34"/>
      <c r="F112" s="174" t="s">
        <v>443</v>
      </c>
    </row>
    <row r="113" spans="1:6" s="13" customFormat="1" ht="12.75" customHeight="1" x14ac:dyDescent="0.25">
      <c r="A113" s="354" t="s">
        <v>61</v>
      </c>
      <c r="B113" s="356" t="s">
        <v>206</v>
      </c>
      <c r="C113" s="358" t="s">
        <v>205</v>
      </c>
      <c r="D113" s="359"/>
      <c r="E113" s="34"/>
      <c r="F113" s="183"/>
    </row>
    <row r="114" spans="1:6" s="13" customFormat="1" x14ac:dyDescent="0.25">
      <c r="A114" s="362"/>
      <c r="B114" s="363"/>
      <c r="C114" s="364" t="s">
        <v>204</v>
      </c>
      <c r="D114" s="365"/>
      <c r="E114" s="34"/>
      <c r="F114" s="185"/>
    </row>
    <row r="115" spans="1:6" s="13" customFormat="1" x14ac:dyDescent="0.25">
      <c r="A115" s="362"/>
      <c r="B115" s="363"/>
      <c r="C115" s="364" t="s">
        <v>203</v>
      </c>
      <c r="D115" s="365"/>
      <c r="E115" s="34"/>
      <c r="F115" s="185"/>
    </row>
    <row r="116" spans="1:6" s="13" customFormat="1" x14ac:dyDescent="0.25">
      <c r="A116" s="362"/>
      <c r="B116" s="363"/>
      <c r="C116" s="364" t="s">
        <v>202</v>
      </c>
      <c r="D116" s="365"/>
      <c r="E116" s="34"/>
      <c r="F116" s="169"/>
    </row>
    <row r="117" spans="1:6" s="13" customFormat="1" x14ac:dyDescent="0.25">
      <c r="A117" s="362"/>
      <c r="B117" s="363"/>
      <c r="C117" s="364" t="s">
        <v>112</v>
      </c>
      <c r="D117" s="365"/>
      <c r="E117" s="34"/>
      <c r="F117" s="169"/>
    </row>
    <row r="118" spans="1:6" s="13" customFormat="1" x14ac:dyDescent="0.25">
      <c r="A118" s="362"/>
      <c r="B118" s="363"/>
      <c r="C118" s="364" t="s">
        <v>113</v>
      </c>
      <c r="D118" s="365"/>
      <c r="E118" s="34"/>
      <c r="F118" s="185"/>
    </row>
    <row r="119" spans="1:6" s="13" customFormat="1" x14ac:dyDescent="0.25">
      <c r="A119" s="362"/>
      <c r="B119" s="363"/>
      <c r="C119" s="364" t="s">
        <v>114</v>
      </c>
      <c r="D119" s="365"/>
      <c r="E119" s="34"/>
      <c r="F119" s="185"/>
    </row>
    <row r="120" spans="1:6" s="13" customFormat="1" ht="13.5" thickBot="1" x14ac:dyDescent="0.3">
      <c r="A120" s="355"/>
      <c r="B120" s="357"/>
      <c r="C120" s="352" t="s">
        <v>115</v>
      </c>
      <c r="D120" s="353"/>
      <c r="E120" s="34"/>
      <c r="F120" s="174"/>
    </row>
    <row r="121" spans="1:6" s="13" customFormat="1" ht="146.44999999999999" customHeight="1" thickBot="1" x14ac:dyDescent="0.3">
      <c r="A121" s="54" t="s">
        <v>86</v>
      </c>
      <c r="B121" s="18" t="s">
        <v>143</v>
      </c>
      <c r="C121" s="380" t="s">
        <v>104</v>
      </c>
      <c r="D121" s="381"/>
      <c r="E121" s="34"/>
      <c r="F121" s="183" t="s">
        <v>444</v>
      </c>
    </row>
    <row r="122" spans="1:6" ht="168.6" customHeight="1" thickBot="1" x14ac:dyDescent="0.25">
      <c r="A122" s="50" t="s">
        <v>85</v>
      </c>
      <c r="B122" s="14" t="s">
        <v>170</v>
      </c>
      <c r="C122" s="380" t="s">
        <v>104</v>
      </c>
      <c r="D122" s="381"/>
      <c r="E122" s="34"/>
      <c r="F122" s="184" t="s">
        <v>181</v>
      </c>
    </row>
    <row r="123" spans="1:6" x14ac:dyDescent="0.2">
      <c r="A123" s="354" t="s">
        <v>13</v>
      </c>
      <c r="B123" s="356" t="s">
        <v>98</v>
      </c>
      <c r="C123" s="358" t="s">
        <v>30</v>
      </c>
      <c r="D123" s="359"/>
      <c r="E123" s="34"/>
      <c r="F123" s="183" t="s">
        <v>446</v>
      </c>
    </row>
    <row r="124" spans="1:6" ht="30.95" customHeight="1" thickBot="1" x14ac:dyDescent="0.25">
      <c r="A124" s="355"/>
      <c r="B124" s="357"/>
      <c r="C124" s="352" t="s">
        <v>109</v>
      </c>
      <c r="D124" s="353"/>
      <c r="E124" s="34"/>
      <c r="F124" s="174">
        <v>1000</v>
      </c>
    </row>
    <row r="125" spans="1:6" ht="65.45" customHeight="1" thickBot="1" x14ac:dyDescent="0.25">
      <c r="A125" s="50" t="s">
        <v>37</v>
      </c>
      <c r="B125" s="30" t="s">
        <v>135</v>
      </c>
      <c r="C125" s="368"/>
      <c r="D125" s="369"/>
      <c r="E125" s="35"/>
      <c r="F125" s="184" t="s">
        <v>447</v>
      </c>
    </row>
    <row r="126" spans="1:6" ht="41.1" customHeight="1" thickBot="1" x14ac:dyDescent="0.25">
      <c r="A126" s="50" t="s">
        <v>38</v>
      </c>
      <c r="B126" s="30" t="s">
        <v>87</v>
      </c>
      <c r="C126" s="368"/>
      <c r="D126" s="369"/>
      <c r="E126" s="35"/>
      <c r="F126" s="184"/>
    </row>
    <row r="127" spans="1:6" ht="17.45" customHeight="1" thickBot="1" x14ac:dyDescent="0.25">
      <c r="A127" s="50" t="s">
        <v>201</v>
      </c>
      <c r="B127" s="30" t="s">
        <v>200</v>
      </c>
      <c r="C127" s="380"/>
      <c r="D127" s="381"/>
      <c r="E127" s="34"/>
      <c r="F127" s="184"/>
    </row>
    <row r="128" spans="1:6" ht="27" customHeight="1" thickBot="1" x14ac:dyDescent="0.25">
      <c r="A128" s="50" t="s">
        <v>39</v>
      </c>
      <c r="B128" s="30" t="s">
        <v>106</v>
      </c>
      <c r="C128" s="380" t="s">
        <v>105</v>
      </c>
      <c r="D128" s="381"/>
      <c r="E128" s="34"/>
      <c r="F128" s="184" t="s">
        <v>499</v>
      </c>
    </row>
    <row r="129" spans="1:6" x14ac:dyDescent="0.2">
      <c r="A129" s="354" t="s">
        <v>88</v>
      </c>
      <c r="B129" s="356" t="s">
        <v>148</v>
      </c>
      <c r="C129" s="358" t="s">
        <v>100</v>
      </c>
      <c r="D129" s="359"/>
      <c r="E129" s="34"/>
      <c r="F129" s="183" t="s">
        <v>448</v>
      </c>
    </row>
    <row r="130" spans="1:6" ht="108" customHeight="1" thickBot="1" x14ac:dyDescent="0.25">
      <c r="A130" s="355"/>
      <c r="B130" s="357"/>
      <c r="C130" s="352" t="s">
        <v>110</v>
      </c>
      <c r="D130" s="353"/>
      <c r="E130" s="34"/>
      <c r="F130" s="201" t="s">
        <v>449</v>
      </c>
    </row>
    <row r="131" spans="1:6" ht="51.75" thickBot="1" x14ac:dyDescent="0.25">
      <c r="A131" s="50" t="s">
        <v>40</v>
      </c>
      <c r="B131" s="30" t="s">
        <v>137</v>
      </c>
      <c r="C131" s="380" t="s">
        <v>100</v>
      </c>
      <c r="D131" s="381"/>
      <c r="E131" s="34"/>
      <c r="F131" s="174" t="s">
        <v>508</v>
      </c>
    </row>
    <row r="132" spans="1:6" ht="57.95" customHeight="1" thickBot="1" x14ac:dyDescent="0.25">
      <c r="A132" s="50" t="s">
        <v>14</v>
      </c>
      <c r="B132" s="30" t="s">
        <v>138</v>
      </c>
      <c r="C132" s="380" t="s">
        <v>139</v>
      </c>
      <c r="D132" s="381"/>
      <c r="E132" s="34"/>
      <c r="F132" s="184">
        <v>2</v>
      </c>
    </row>
    <row r="133" spans="1:6" ht="65.45" customHeight="1" thickBot="1" x14ac:dyDescent="0.25">
      <c r="A133" s="50" t="s">
        <v>91</v>
      </c>
      <c r="B133" s="30" t="s">
        <v>144</v>
      </c>
      <c r="C133" s="380" t="s">
        <v>100</v>
      </c>
      <c r="D133" s="381"/>
      <c r="E133" s="34"/>
      <c r="F133" s="184" t="s">
        <v>359</v>
      </c>
    </row>
    <row r="134" spans="1:6" ht="68.45" customHeight="1" thickBot="1" x14ac:dyDescent="0.25">
      <c r="A134" s="50" t="s">
        <v>92</v>
      </c>
      <c r="B134" s="30" t="s">
        <v>145</v>
      </c>
      <c r="C134" s="368"/>
      <c r="D134" s="369"/>
      <c r="E134" s="35"/>
      <c r="F134" s="184"/>
    </row>
  </sheetData>
  <sheetProtection algorithmName="SHA-512" hashValue="8MbzI/J7HqLcDjJE/WVaT+EBc3dXLuM06LokS1Bn/WSdDlVozlwnmzTsxULMeOUzXmP/bjMYxMqh4JATGXeJuw==" saltValue="kVfvuPF84Ob2255S8lfyjg==" spinCount="100000" sheet="1" objects="1" scenarios="1"/>
  <dataConsolidate/>
  <mergeCells count="153">
    <mergeCell ref="C26:D26"/>
    <mergeCell ref="A27:A28"/>
    <mergeCell ref="B27:B28"/>
    <mergeCell ref="C27:D27"/>
    <mergeCell ref="B13:D13"/>
    <mergeCell ref="B14:D14"/>
    <mergeCell ref="B15:D15"/>
    <mergeCell ref="B16:D16"/>
    <mergeCell ref="B17:D17"/>
    <mergeCell ref="A19:D19"/>
    <mergeCell ref="B21:D21"/>
    <mergeCell ref="B22:D22"/>
    <mergeCell ref="A24:D24"/>
    <mergeCell ref="C28:D28"/>
    <mergeCell ref="B9:D9"/>
    <mergeCell ref="B10:D10"/>
    <mergeCell ref="B11:D11"/>
    <mergeCell ref="B12:D12"/>
    <mergeCell ref="A3:D3"/>
    <mergeCell ref="A4:D4"/>
    <mergeCell ref="A6:D6"/>
    <mergeCell ref="B8:D8"/>
    <mergeCell ref="C25:D25"/>
    <mergeCell ref="C29:D29"/>
    <mergeCell ref="A30:A34"/>
    <mergeCell ref="B30:B34"/>
    <mergeCell ref="C30:D30"/>
    <mergeCell ref="C31:D31"/>
    <mergeCell ref="C32:D32"/>
    <mergeCell ref="C33:D33"/>
    <mergeCell ref="C34:D34"/>
    <mergeCell ref="A35:A36"/>
    <mergeCell ref="B35:B36"/>
    <mergeCell ref="C35:D35"/>
    <mergeCell ref="C36:D36"/>
    <mergeCell ref="A37:A38"/>
    <mergeCell ref="B37:B38"/>
    <mergeCell ref="C37:D37"/>
    <mergeCell ref="C38:D38"/>
    <mergeCell ref="C39:D39"/>
    <mergeCell ref="A40:A42"/>
    <mergeCell ref="B40:B42"/>
    <mergeCell ref="C40:D40"/>
    <mergeCell ref="C41:D41"/>
    <mergeCell ref="C42:D42"/>
    <mergeCell ref="C43:D43"/>
    <mergeCell ref="A44:A51"/>
    <mergeCell ref="B44:B51"/>
    <mergeCell ref="C44:D44"/>
    <mergeCell ref="C45:D45"/>
    <mergeCell ref="C46:D46"/>
    <mergeCell ref="C47:D47"/>
    <mergeCell ref="C48:D48"/>
    <mergeCell ref="C49:D49"/>
    <mergeCell ref="C50:D50"/>
    <mergeCell ref="C51:D51"/>
    <mergeCell ref="A52:A54"/>
    <mergeCell ref="B52:B54"/>
    <mergeCell ref="C52:D52"/>
    <mergeCell ref="C53:D53"/>
    <mergeCell ref="C54:D54"/>
    <mergeCell ref="C55:D55"/>
    <mergeCell ref="C56:D56"/>
    <mergeCell ref="A57:A58"/>
    <mergeCell ref="B57:B58"/>
    <mergeCell ref="C57:D57"/>
    <mergeCell ref="C58:D58"/>
    <mergeCell ref="A59:A61"/>
    <mergeCell ref="B59:B61"/>
    <mergeCell ref="C59:D59"/>
    <mergeCell ref="C60:D60"/>
    <mergeCell ref="C61:D61"/>
    <mergeCell ref="C62:D62"/>
    <mergeCell ref="C63:D63"/>
    <mergeCell ref="C64:D64"/>
    <mergeCell ref="C65:D65"/>
    <mergeCell ref="C66:D66"/>
    <mergeCell ref="C67:D67"/>
    <mergeCell ref="A68:A69"/>
    <mergeCell ref="B68:B69"/>
    <mergeCell ref="C68:D68"/>
    <mergeCell ref="C69:D69"/>
    <mergeCell ref="C70:D70"/>
    <mergeCell ref="C71:D71"/>
    <mergeCell ref="C72:D72"/>
    <mergeCell ref="C73:D73"/>
    <mergeCell ref="C74:D74"/>
    <mergeCell ref="C75:D75"/>
    <mergeCell ref="C76:D76"/>
    <mergeCell ref="C77:D77"/>
    <mergeCell ref="C78:D78"/>
    <mergeCell ref="C79:D79"/>
    <mergeCell ref="A81:D81"/>
    <mergeCell ref="A82:D82"/>
    <mergeCell ref="A83:D83"/>
    <mergeCell ref="A84:D84"/>
    <mergeCell ref="A85:D85"/>
    <mergeCell ref="A86:D86"/>
    <mergeCell ref="A87:D87"/>
    <mergeCell ref="A88:D88"/>
    <mergeCell ref="A89:D89"/>
    <mergeCell ref="A90:D90"/>
    <mergeCell ref="A91:D91"/>
    <mergeCell ref="A92:D92"/>
    <mergeCell ref="A93:D93"/>
    <mergeCell ref="A94:D94"/>
    <mergeCell ref="A95:D95"/>
    <mergeCell ref="A96:D96"/>
    <mergeCell ref="A97:D97"/>
    <mergeCell ref="A98:D98"/>
    <mergeCell ref="A99:D99"/>
    <mergeCell ref="A101:D101"/>
    <mergeCell ref="A100:D100"/>
    <mergeCell ref="A103:D103"/>
    <mergeCell ref="C104:D104"/>
    <mergeCell ref="C105:D105"/>
    <mergeCell ref="C106:D106"/>
    <mergeCell ref="C107:D107"/>
    <mergeCell ref="C108:D108"/>
    <mergeCell ref="A109:A112"/>
    <mergeCell ref="B109:B112"/>
    <mergeCell ref="C109:D109"/>
    <mergeCell ref="C110:D110"/>
    <mergeCell ref="C111:D111"/>
    <mergeCell ref="C112:D112"/>
    <mergeCell ref="C121:D121"/>
    <mergeCell ref="C122:D122"/>
    <mergeCell ref="A123:A124"/>
    <mergeCell ref="B123:B124"/>
    <mergeCell ref="C123:D123"/>
    <mergeCell ref="C124:D124"/>
    <mergeCell ref="A113:A120"/>
    <mergeCell ref="B113:B120"/>
    <mergeCell ref="C113:D113"/>
    <mergeCell ref="C114:D114"/>
    <mergeCell ref="C115:D115"/>
    <mergeCell ref="C116:D116"/>
    <mergeCell ref="C117:D117"/>
    <mergeCell ref="C118:D118"/>
    <mergeCell ref="C119:D119"/>
    <mergeCell ref="C120:D120"/>
    <mergeCell ref="C131:D131"/>
    <mergeCell ref="C132:D132"/>
    <mergeCell ref="C133:D133"/>
    <mergeCell ref="C134:D134"/>
    <mergeCell ref="C125:D125"/>
    <mergeCell ref="C126:D126"/>
    <mergeCell ref="C127:D127"/>
    <mergeCell ref="C128:D128"/>
    <mergeCell ref="A129:A130"/>
    <mergeCell ref="B129:B130"/>
    <mergeCell ref="C129:D129"/>
    <mergeCell ref="C130:D130"/>
  </mergeCells>
  <conditionalFormatting sqref="C55 C64">
    <cfRule type="expression" dxfId="25" priority="59">
      <formula>#REF!="NO"</formula>
    </cfRule>
  </conditionalFormatting>
  <conditionalFormatting sqref="C40:D42">
    <cfRule type="expression" dxfId="24" priority="14">
      <formula>$F$2="NO"</formula>
    </cfRule>
  </conditionalFormatting>
  <conditionalFormatting sqref="C26:E39">
    <cfRule type="expression" dxfId="23" priority="60">
      <formula>#REF!="NO"</formula>
    </cfRule>
  </conditionalFormatting>
  <conditionalFormatting sqref="C43:E79">
    <cfRule type="expression" dxfId="22" priority="13">
      <formula>#REF!="NO"</formula>
    </cfRule>
  </conditionalFormatting>
  <conditionalFormatting sqref="C105:F134">
    <cfRule type="expression" dxfId="21" priority="19">
      <formula>#REF!="NO"</formula>
    </cfRule>
  </conditionalFormatting>
  <conditionalFormatting sqref="E40:E42">
    <cfRule type="expression" dxfId="20" priority="18">
      <formula>#REF!="NO"</formula>
    </cfRule>
  </conditionalFormatting>
  <conditionalFormatting sqref="E83:F101">
    <cfRule type="expression" dxfId="19" priority="1">
      <formula>#REF!="NO"</formula>
    </cfRule>
  </conditionalFormatting>
  <conditionalFormatting sqref="F8:F17">
    <cfRule type="expression" dxfId="18" priority="56">
      <formula>#REF!="NO"</formula>
    </cfRule>
  </conditionalFormatting>
  <conditionalFormatting sqref="F21:F22">
    <cfRule type="expression" dxfId="17" priority="57">
      <formula>#REF!="NO"</formula>
    </cfRule>
  </conditionalFormatting>
  <conditionalFormatting sqref="F26:G79">
    <cfRule type="expression" dxfId="16" priority="11">
      <formula>#REF!="NO"</formula>
    </cfRule>
  </conditionalFormatting>
  <dataValidations count="3">
    <dataValidation type="decimal" allowBlank="1" showInputMessage="1" showErrorMessage="1" error="The Additional Options NYS Discount entered must be greater than 0%, or less than or equal to 100%." sqref="F22" xr:uid="{00000000-0002-0000-0D00-000002000000}">
      <formula1>0.01</formula1>
      <formula2>100</formula2>
    </dataValidation>
    <dataValidation type="decimal" allowBlank="1" showInputMessage="1" showErrorMessage="1" error="Invalid Entry - Bidder must enter a value that is greater than $0" sqref="F21" xr:uid="{00000000-0002-0000-0D00-000001000000}">
      <formula1>0</formula1>
      <formula2>9E+21</formula2>
    </dataValidation>
    <dataValidation type="decimal" operator="greaterThanOrEqual" allowBlank="1" showInputMessage="1" showErrorMessage="1" error="The Pickup Allowance cannot be a negative number." sqref="F16" xr:uid="{00000000-0002-0000-0D00-000000000000}">
      <formula1>0</formula1>
    </dataValidation>
  </dataValidations>
  <pageMargins left="0.25" right="0.25" top="0.5" bottom="0.25" header="0.3" footer="0.3"/>
  <pageSetup scale="93" fitToHeight="0" orientation="landscape" r:id="rId1"/>
  <rowBreaks count="2" manualBreakCount="2">
    <brk id="28" max="7" man="1"/>
    <brk id="5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D68C-6DAB-4BDB-A9B0-F1276646B1B8}">
  <sheetPr>
    <tabColor theme="8" tint="0.59999389629810485"/>
    <pageSetUpPr fitToPage="1"/>
  </sheetPr>
  <dimension ref="A1:G127"/>
  <sheetViews>
    <sheetView showGridLines="0" zoomScaleNormal="100" zoomScaleSheetLayoutView="100" workbookViewId="0">
      <selection activeCell="A3" sqref="A3:D3"/>
    </sheetView>
  </sheetViews>
  <sheetFormatPr defaultColWidth="9.140625" defaultRowHeight="15" x14ac:dyDescent="0.25"/>
  <cols>
    <col min="1" max="1" width="19.140625" style="87" customWidth="1"/>
    <col min="2" max="2" width="62.85546875" style="87" customWidth="1"/>
    <col min="3" max="3" width="14.7109375" style="87" customWidth="1"/>
    <col min="4" max="4" width="20.7109375" style="87" customWidth="1"/>
    <col min="5" max="5" width="8" style="87" customWidth="1"/>
    <col min="6" max="6" width="20.7109375" style="301" customWidth="1"/>
  </cols>
  <sheetData>
    <row r="1" spans="1:7" x14ac:dyDescent="0.25">
      <c r="A1" s="165" t="str">
        <f>'A (Item 2-G)'!$A$1</f>
        <v>GROUP 40524-23254, SCHOOL BUSES (Statewide)                                                             Attachment 1 - Specifications and Pricing (Revised October 15, 2026)</v>
      </c>
    </row>
    <row r="2" spans="1:7" ht="15.75" thickBot="1" x14ac:dyDescent="0.3">
      <c r="A2" s="320" t="str">
        <f>'Attachment 1 - Summary'!B2</f>
        <v>PC69864 New York Bus Sales, LLC</v>
      </c>
      <c r="B2" s="131"/>
      <c r="C2" s="131"/>
      <c r="D2" s="131"/>
      <c r="E2" s="131"/>
      <c r="F2" s="317"/>
    </row>
    <row r="3" spans="1:7" ht="24" thickBot="1" x14ac:dyDescent="0.3">
      <c r="A3" s="514" t="s">
        <v>521</v>
      </c>
      <c r="B3" s="515"/>
      <c r="C3" s="515"/>
      <c r="D3" s="516"/>
      <c r="E3" s="133"/>
    </row>
    <row r="4" spans="1:7" ht="46.5" customHeight="1" thickBot="1" x14ac:dyDescent="0.3">
      <c r="A4" s="497" t="s">
        <v>470</v>
      </c>
      <c r="B4" s="498"/>
      <c r="C4" s="498"/>
      <c r="D4" s="499"/>
      <c r="E4" s="133"/>
      <c r="F4" s="318"/>
      <c r="G4" s="130"/>
    </row>
    <row r="5" spans="1:7" ht="15.75" thickBot="1" x14ac:dyDescent="0.3">
      <c r="A5" s="288"/>
      <c r="B5" s="289"/>
      <c r="C5" s="289"/>
      <c r="D5" s="289"/>
      <c r="E5" s="289"/>
      <c r="F5" s="319"/>
    </row>
    <row r="6" spans="1:7" ht="16.5" thickBot="1" x14ac:dyDescent="0.3">
      <c r="A6" s="494" t="s">
        <v>151</v>
      </c>
      <c r="B6" s="495"/>
      <c r="C6" s="495"/>
      <c r="D6" s="496"/>
      <c r="E6" s="117"/>
      <c r="F6" s="290" t="s">
        <v>420</v>
      </c>
    </row>
    <row r="7" spans="1:7" ht="15.75" thickBot="1" x14ac:dyDescent="0.3">
      <c r="A7" s="128" t="s">
        <v>6</v>
      </c>
      <c r="B7" s="127" t="s">
        <v>165</v>
      </c>
      <c r="C7" s="126"/>
      <c r="D7" s="125"/>
      <c r="E7" s="124"/>
      <c r="F7" s="291" t="s">
        <v>184</v>
      </c>
    </row>
    <row r="8" spans="1:7" ht="96" customHeight="1" thickTop="1" thickBot="1" x14ac:dyDescent="0.3">
      <c r="A8" s="123" t="s">
        <v>9</v>
      </c>
      <c r="B8" s="500" t="s">
        <v>152</v>
      </c>
      <c r="C8" s="501"/>
      <c r="D8" s="502"/>
      <c r="E8" s="111"/>
      <c r="F8" s="311" t="s">
        <v>465</v>
      </c>
    </row>
    <row r="9" spans="1:7" ht="44.25" customHeight="1" thickTop="1" thickBot="1" x14ac:dyDescent="0.3">
      <c r="A9" s="123" t="s">
        <v>136</v>
      </c>
      <c r="B9" s="500" t="s">
        <v>191</v>
      </c>
      <c r="C9" s="501"/>
      <c r="D9" s="502"/>
      <c r="E9" s="111"/>
      <c r="F9" s="311" t="s">
        <v>509</v>
      </c>
    </row>
    <row r="10" spans="1:7" ht="15.75" thickTop="1" x14ac:dyDescent="0.25">
      <c r="A10" s="121" t="s">
        <v>0</v>
      </c>
      <c r="B10" s="509" t="s">
        <v>154</v>
      </c>
      <c r="C10" s="510"/>
      <c r="D10" s="511"/>
      <c r="E10" s="111"/>
      <c r="F10" s="169" t="s">
        <v>420</v>
      </c>
    </row>
    <row r="11" spans="1:7" x14ac:dyDescent="0.25">
      <c r="A11" s="121" t="s">
        <v>1</v>
      </c>
      <c r="B11" s="509" t="s">
        <v>153</v>
      </c>
      <c r="C11" s="510"/>
      <c r="D11" s="511"/>
      <c r="E11" s="111"/>
      <c r="F11" s="169" t="s">
        <v>486</v>
      </c>
    </row>
    <row r="12" spans="1:7" ht="15.75" customHeight="1" thickBot="1" x14ac:dyDescent="0.3">
      <c r="A12" s="122" t="s">
        <v>2</v>
      </c>
      <c r="B12" s="491" t="s">
        <v>155</v>
      </c>
      <c r="C12" s="492"/>
      <c r="D12" s="493"/>
      <c r="E12" s="111"/>
      <c r="F12" s="170">
        <v>3802</v>
      </c>
    </row>
    <row r="13" spans="1:7" ht="15.75" thickTop="1" x14ac:dyDescent="0.25">
      <c r="A13" s="121" t="s">
        <v>3</v>
      </c>
      <c r="B13" s="509" t="s">
        <v>157</v>
      </c>
      <c r="C13" s="510"/>
      <c r="D13" s="511"/>
      <c r="E13" s="111"/>
      <c r="F13" s="169" t="s">
        <v>420</v>
      </c>
    </row>
    <row r="14" spans="1:7" x14ac:dyDescent="0.25">
      <c r="A14" s="121" t="s">
        <v>4</v>
      </c>
      <c r="B14" s="509" t="s">
        <v>156</v>
      </c>
      <c r="C14" s="510"/>
      <c r="D14" s="511"/>
      <c r="E14" s="111"/>
      <c r="F14" s="169" t="s">
        <v>475</v>
      </c>
    </row>
    <row r="15" spans="1:7" ht="13.5" customHeight="1" thickBot="1" x14ac:dyDescent="0.3">
      <c r="A15" s="120" t="s">
        <v>5</v>
      </c>
      <c r="B15" s="491" t="s">
        <v>158</v>
      </c>
      <c r="C15" s="492"/>
      <c r="D15" s="493"/>
      <c r="E15" s="111"/>
      <c r="F15" s="172">
        <v>3802</v>
      </c>
    </row>
    <row r="16" spans="1:7" ht="30.75" customHeight="1" thickTop="1" x14ac:dyDescent="0.25">
      <c r="A16" s="121" t="s">
        <v>101</v>
      </c>
      <c r="B16" s="488" t="s">
        <v>160</v>
      </c>
      <c r="C16" s="489"/>
      <c r="D16" s="490"/>
      <c r="E16" s="111"/>
      <c r="F16" s="173">
        <v>100</v>
      </c>
    </row>
    <row r="17" spans="1:6" ht="31.5" customHeight="1" thickBot="1" x14ac:dyDescent="0.3">
      <c r="A17" s="120" t="s">
        <v>43</v>
      </c>
      <c r="B17" s="491" t="s">
        <v>159</v>
      </c>
      <c r="C17" s="492"/>
      <c r="D17" s="493"/>
      <c r="E17" s="111"/>
      <c r="F17" s="172" t="s">
        <v>399</v>
      </c>
    </row>
    <row r="18" spans="1:6" ht="16.5" thickTop="1" thickBot="1" x14ac:dyDescent="0.3">
      <c r="A18" s="119"/>
      <c r="B18" s="119"/>
      <c r="C18" s="118"/>
      <c r="D18" s="118"/>
      <c r="E18" s="118"/>
      <c r="F18" s="297"/>
    </row>
    <row r="19" spans="1:6" ht="16.5" thickBot="1" x14ac:dyDescent="0.3">
      <c r="A19" s="494" t="s">
        <v>150</v>
      </c>
      <c r="B19" s="495"/>
      <c r="C19" s="495"/>
      <c r="D19" s="496"/>
      <c r="E19" s="117"/>
      <c r="F19" s="290" t="s">
        <v>420</v>
      </c>
    </row>
    <row r="20" spans="1:6" ht="15.75" thickBot="1" x14ac:dyDescent="0.3">
      <c r="A20" s="106" t="s">
        <v>6</v>
      </c>
      <c r="B20" s="116" t="s">
        <v>165</v>
      </c>
      <c r="C20" s="115"/>
      <c r="D20" s="114"/>
      <c r="E20" s="113"/>
      <c r="F20" s="298" t="s">
        <v>184</v>
      </c>
    </row>
    <row r="21" spans="1:6" ht="71.25" customHeight="1" x14ac:dyDescent="0.25">
      <c r="A21" s="112" t="s">
        <v>42</v>
      </c>
      <c r="B21" s="503" t="s">
        <v>161</v>
      </c>
      <c r="C21" s="504"/>
      <c r="D21" s="505"/>
      <c r="E21" s="111"/>
      <c r="F21" s="299">
        <f>422400*('PPI Adj'!D6)</f>
        <v>492940.79999999999</v>
      </c>
    </row>
    <row r="22" spans="1:6" ht="30.75" customHeight="1" thickBot="1" x14ac:dyDescent="0.3">
      <c r="A22" s="110" t="s">
        <v>41</v>
      </c>
      <c r="B22" s="506" t="s">
        <v>163</v>
      </c>
      <c r="C22" s="507"/>
      <c r="D22" s="508"/>
      <c r="E22" s="109"/>
      <c r="F22" s="300">
        <v>22</v>
      </c>
    </row>
    <row r="23" spans="1:6" ht="15.75" thickBot="1" x14ac:dyDescent="0.3">
      <c r="A23" s="108"/>
      <c r="B23" s="107"/>
      <c r="C23" s="107"/>
      <c r="D23" s="107"/>
      <c r="E23" s="107"/>
    </row>
    <row r="24" spans="1:6" ht="16.5" thickBot="1" x14ac:dyDescent="0.3">
      <c r="A24" s="479" t="s">
        <v>164</v>
      </c>
      <c r="B24" s="480"/>
      <c r="C24" s="480"/>
      <c r="D24" s="481"/>
      <c r="E24" s="100"/>
      <c r="F24" s="290" t="s">
        <v>420</v>
      </c>
    </row>
    <row r="25" spans="1:6" ht="15.75" thickBot="1" x14ac:dyDescent="0.3">
      <c r="A25" s="106" t="s">
        <v>6</v>
      </c>
      <c r="B25" s="105" t="s">
        <v>7</v>
      </c>
      <c r="C25" s="512" t="s">
        <v>165</v>
      </c>
      <c r="D25" s="513"/>
      <c r="E25" s="104"/>
      <c r="F25" s="298" t="s">
        <v>184</v>
      </c>
    </row>
    <row r="26" spans="1:6" ht="64.5" customHeight="1" thickBot="1" x14ac:dyDescent="0.3">
      <c r="A26" s="103" t="s">
        <v>8</v>
      </c>
      <c r="B26" s="89" t="s">
        <v>485</v>
      </c>
      <c r="C26" s="469" t="s">
        <v>118</v>
      </c>
      <c r="D26" s="470"/>
      <c r="E26" s="102"/>
      <c r="F26" s="302">
        <v>33000</v>
      </c>
    </row>
    <row r="27" spans="1:6" x14ac:dyDescent="0.25">
      <c r="A27" s="463" t="s">
        <v>21</v>
      </c>
      <c r="B27" s="465" t="s">
        <v>500</v>
      </c>
      <c r="C27" s="467" t="s">
        <v>67</v>
      </c>
      <c r="D27" s="468"/>
      <c r="E27" s="102"/>
      <c r="F27" s="303">
        <v>12</v>
      </c>
    </row>
    <row r="28" spans="1:6" ht="15.75" thickBot="1" x14ac:dyDescent="0.3">
      <c r="A28" s="464"/>
      <c r="B28" s="466"/>
      <c r="C28" s="469" t="s">
        <v>68</v>
      </c>
      <c r="D28" s="470"/>
      <c r="E28" s="102"/>
      <c r="F28" s="302">
        <v>72</v>
      </c>
    </row>
    <row r="29" spans="1:6" ht="15.75" thickBot="1" x14ac:dyDescent="0.3">
      <c r="A29" s="90" t="s">
        <v>123</v>
      </c>
      <c r="B29" s="89" t="s">
        <v>108</v>
      </c>
      <c r="C29" s="459"/>
      <c r="D29" s="460"/>
      <c r="E29" s="101"/>
      <c r="F29" s="304"/>
    </row>
    <row r="30" spans="1:6" x14ac:dyDescent="0.25">
      <c r="A30" s="463" t="s">
        <v>59</v>
      </c>
      <c r="B30" s="465"/>
      <c r="C30" s="467" t="s">
        <v>58</v>
      </c>
      <c r="D30" s="468"/>
      <c r="E30" s="102"/>
      <c r="F30" s="303">
        <v>245</v>
      </c>
    </row>
    <row r="31" spans="1:6" x14ac:dyDescent="0.25">
      <c r="A31" s="471"/>
      <c r="B31" s="472"/>
      <c r="C31" s="473" t="s">
        <v>57</v>
      </c>
      <c r="D31" s="474"/>
      <c r="E31" s="102"/>
      <c r="F31" s="293">
        <v>461.05</v>
      </c>
    </row>
    <row r="32" spans="1:6" x14ac:dyDescent="0.25">
      <c r="A32" s="471"/>
      <c r="B32" s="472"/>
      <c r="C32" s="473" t="s">
        <v>69</v>
      </c>
      <c r="D32" s="474"/>
      <c r="E32" s="102"/>
      <c r="F32" s="293">
        <v>90.75</v>
      </c>
    </row>
    <row r="33" spans="1:6" x14ac:dyDescent="0.25">
      <c r="A33" s="471"/>
      <c r="B33" s="472"/>
      <c r="C33" s="486" t="s">
        <v>70</v>
      </c>
      <c r="D33" s="487"/>
      <c r="E33" s="102"/>
      <c r="F33" s="293">
        <v>77</v>
      </c>
    </row>
    <row r="34" spans="1:6" ht="15.75" thickBot="1" x14ac:dyDescent="0.3">
      <c r="A34" s="464"/>
      <c r="B34" s="466"/>
      <c r="C34" s="469" t="s">
        <v>111</v>
      </c>
      <c r="D34" s="470"/>
      <c r="E34" s="102"/>
      <c r="F34" s="302">
        <v>339.25</v>
      </c>
    </row>
    <row r="35" spans="1:6" x14ac:dyDescent="0.25">
      <c r="A35" s="463" t="s">
        <v>11</v>
      </c>
      <c r="B35" s="465"/>
      <c r="C35" s="467" t="s">
        <v>24</v>
      </c>
      <c r="D35" s="468"/>
      <c r="E35" s="102"/>
      <c r="F35" s="303">
        <v>12350</v>
      </c>
    </row>
    <row r="36" spans="1:6" ht="15.75" thickBot="1" x14ac:dyDescent="0.3">
      <c r="A36" s="464"/>
      <c r="B36" s="466"/>
      <c r="C36" s="469" t="s">
        <v>22</v>
      </c>
      <c r="D36" s="470"/>
      <c r="E36" s="102"/>
      <c r="F36" s="302">
        <v>13200</v>
      </c>
    </row>
    <row r="37" spans="1:6" x14ac:dyDescent="0.25">
      <c r="A37" s="463" t="s">
        <v>16</v>
      </c>
      <c r="B37" s="465"/>
      <c r="C37" s="467" t="s">
        <v>24</v>
      </c>
      <c r="D37" s="468"/>
      <c r="E37" s="102"/>
      <c r="F37" s="303">
        <v>21000</v>
      </c>
    </row>
    <row r="38" spans="1:6" ht="15.75" thickBot="1" x14ac:dyDescent="0.3">
      <c r="A38" s="464"/>
      <c r="B38" s="466"/>
      <c r="C38" s="482" t="s">
        <v>23</v>
      </c>
      <c r="D38" s="483"/>
      <c r="E38" s="102"/>
      <c r="F38" s="302">
        <v>21000</v>
      </c>
    </row>
    <row r="39" spans="1:6" ht="15.75" thickBot="1" x14ac:dyDescent="0.3">
      <c r="A39" s="90" t="s">
        <v>52</v>
      </c>
      <c r="B39" s="89" t="s">
        <v>53</v>
      </c>
      <c r="C39" s="459"/>
      <c r="D39" s="460"/>
      <c r="E39" s="101"/>
      <c r="F39" s="304"/>
    </row>
    <row r="40" spans="1:6" ht="25.5" x14ac:dyDescent="0.25">
      <c r="A40" s="463" t="s">
        <v>219</v>
      </c>
      <c r="B40" s="465" t="s">
        <v>222</v>
      </c>
      <c r="C40" s="467" t="s">
        <v>221</v>
      </c>
      <c r="D40" s="468"/>
      <c r="E40" s="102"/>
      <c r="F40" s="303" t="s">
        <v>518</v>
      </c>
    </row>
    <row r="41" spans="1:6" ht="25.5" x14ac:dyDescent="0.25">
      <c r="A41" s="471"/>
      <c r="B41" s="472"/>
      <c r="C41" s="473" t="s">
        <v>220</v>
      </c>
      <c r="D41" s="474"/>
      <c r="E41" s="102"/>
      <c r="F41" s="293" t="s">
        <v>425</v>
      </c>
    </row>
    <row r="42" spans="1:6" ht="69.599999999999994" customHeight="1" thickBot="1" x14ac:dyDescent="0.3">
      <c r="A42" s="464"/>
      <c r="B42" s="472"/>
      <c r="C42" s="482"/>
      <c r="D42" s="483"/>
      <c r="E42" s="102"/>
      <c r="F42" s="305"/>
    </row>
    <row r="43" spans="1:6" ht="28.5" customHeight="1" thickBot="1" x14ac:dyDescent="0.3">
      <c r="A43" s="90" t="s">
        <v>219</v>
      </c>
      <c r="B43" s="89" t="s">
        <v>218</v>
      </c>
      <c r="C43" s="459"/>
      <c r="D43" s="460"/>
      <c r="E43" s="101"/>
      <c r="F43" s="304"/>
    </row>
    <row r="44" spans="1:6" ht="15.75" thickBot="1" x14ac:dyDescent="0.3">
      <c r="A44" s="484" t="s">
        <v>12</v>
      </c>
      <c r="B44" s="485" t="s">
        <v>142</v>
      </c>
      <c r="C44" s="467" t="s">
        <v>174</v>
      </c>
      <c r="D44" s="468"/>
      <c r="E44" s="102"/>
      <c r="F44" s="303" t="s">
        <v>278</v>
      </c>
    </row>
    <row r="45" spans="1:6" ht="15.75" thickBot="1" x14ac:dyDescent="0.3">
      <c r="A45" s="484"/>
      <c r="B45" s="485"/>
      <c r="C45" s="473" t="s">
        <v>175</v>
      </c>
      <c r="D45" s="474"/>
      <c r="E45" s="102"/>
      <c r="F45" s="293">
        <v>6610</v>
      </c>
    </row>
    <row r="46" spans="1:6" ht="15.75" thickBot="1" x14ac:dyDescent="0.3">
      <c r="A46" s="484"/>
      <c r="B46" s="485"/>
      <c r="C46" s="473" t="s">
        <v>176</v>
      </c>
      <c r="D46" s="474"/>
      <c r="E46" s="102"/>
      <c r="F46" s="306" t="s">
        <v>278</v>
      </c>
    </row>
    <row r="47" spans="1:6" ht="15.75" thickBot="1" x14ac:dyDescent="0.3">
      <c r="A47" s="484"/>
      <c r="B47" s="485"/>
      <c r="C47" s="473" t="s">
        <v>177</v>
      </c>
      <c r="D47" s="474"/>
      <c r="E47" s="102"/>
      <c r="F47" s="293">
        <v>6005</v>
      </c>
    </row>
    <row r="48" spans="1:6" ht="15.75" thickBot="1" x14ac:dyDescent="0.3">
      <c r="A48" s="484"/>
      <c r="B48" s="485"/>
      <c r="C48" s="473" t="s">
        <v>112</v>
      </c>
      <c r="D48" s="474"/>
      <c r="E48" s="102"/>
      <c r="F48" s="293" t="s">
        <v>426</v>
      </c>
    </row>
    <row r="49" spans="1:6" ht="15.75" thickBot="1" x14ac:dyDescent="0.3">
      <c r="A49" s="484"/>
      <c r="B49" s="485"/>
      <c r="C49" s="473" t="s">
        <v>113</v>
      </c>
      <c r="D49" s="474"/>
      <c r="E49" s="102"/>
      <c r="F49" s="293" t="s">
        <v>493</v>
      </c>
    </row>
    <row r="50" spans="1:6" ht="15.75" thickBot="1" x14ac:dyDescent="0.3">
      <c r="A50" s="484"/>
      <c r="B50" s="485"/>
      <c r="C50" s="486" t="s">
        <v>114</v>
      </c>
      <c r="D50" s="487"/>
      <c r="E50" s="102"/>
      <c r="F50" s="293" t="s">
        <v>426</v>
      </c>
    </row>
    <row r="51" spans="1:6" ht="15.75" thickBot="1" x14ac:dyDescent="0.3">
      <c r="A51" s="484"/>
      <c r="B51" s="485"/>
      <c r="C51" s="469" t="s">
        <v>115</v>
      </c>
      <c r="D51" s="470"/>
      <c r="E51" s="102"/>
      <c r="F51" s="302" t="s">
        <v>493</v>
      </c>
    </row>
    <row r="52" spans="1:6" x14ac:dyDescent="0.25">
      <c r="A52" s="463" t="s">
        <v>10</v>
      </c>
      <c r="B52" s="465" t="s">
        <v>217</v>
      </c>
      <c r="C52" s="467" t="s">
        <v>116</v>
      </c>
      <c r="D52" s="468"/>
      <c r="E52" s="102"/>
      <c r="F52" s="303">
        <v>1</v>
      </c>
    </row>
    <row r="53" spans="1:6" x14ac:dyDescent="0.25">
      <c r="A53" s="471"/>
      <c r="B53" s="472"/>
      <c r="C53" s="473" t="s">
        <v>117</v>
      </c>
      <c r="D53" s="474"/>
      <c r="E53" s="102"/>
      <c r="F53" s="293" t="s">
        <v>197</v>
      </c>
    </row>
    <row r="54" spans="1:6" ht="15.75" thickBot="1" x14ac:dyDescent="0.3">
      <c r="A54" s="471"/>
      <c r="B54" s="472"/>
      <c r="C54" s="482" t="s">
        <v>71</v>
      </c>
      <c r="D54" s="483"/>
      <c r="E54" s="102"/>
      <c r="F54" s="305" t="s">
        <v>467</v>
      </c>
    </row>
    <row r="55" spans="1:6" ht="83.1" customHeight="1" thickBot="1" x14ac:dyDescent="0.3">
      <c r="A55" s="28" t="s">
        <v>185</v>
      </c>
      <c r="B55" s="28" t="s">
        <v>186</v>
      </c>
      <c r="C55" s="380" t="s">
        <v>187</v>
      </c>
      <c r="D55" s="430"/>
      <c r="E55" s="102"/>
      <c r="F55" s="303">
        <v>120</v>
      </c>
    </row>
    <row r="56" spans="1:6" x14ac:dyDescent="0.25">
      <c r="A56" s="463" t="s">
        <v>26</v>
      </c>
      <c r="B56" s="465" t="s">
        <v>253</v>
      </c>
      <c r="C56" s="467" t="s">
        <v>74</v>
      </c>
      <c r="D56" s="468"/>
      <c r="E56" s="102"/>
      <c r="F56" s="303" t="s">
        <v>468</v>
      </c>
    </row>
    <row r="57" spans="1:6" x14ac:dyDescent="0.25">
      <c r="A57" s="471"/>
      <c r="B57" s="472"/>
      <c r="C57" s="473" t="s">
        <v>75</v>
      </c>
      <c r="D57" s="474"/>
      <c r="E57" s="102"/>
      <c r="F57" s="293" t="s">
        <v>469</v>
      </c>
    </row>
    <row r="58" spans="1:6" ht="29.25" customHeight="1" thickBot="1" x14ac:dyDescent="0.3">
      <c r="A58" s="464"/>
      <c r="B58" s="466"/>
      <c r="C58" s="469" t="s">
        <v>252</v>
      </c>
      <c r="D58" s="470"/>
      <c r="E58" s="102"/>
      <c r="F58" s="302">
        <v>700</v>
      </c>
    </row>
    <row r="59" spans="1:6" ht="15.75" thickBot="1" x14ac:dyDescent="0.3">
      <c r="A59" s="90" t="s">
        <v>44</v>
      </c>
      <c r="B59" s="89" t="s">
        <v>45</v>
      </c>
      <c r="C59" s="459"/>
      <c r="D59" s="460"/>
      <c r="E59" s="101"/>
      <c r="F59" s="307"/>
    </row>
    <row r="60" spans="1:6" ht="27.95" customHeight="1" thickBot="1" x14ac:dyDescent="0.3">
      <c r="A60" s="90" t="s">
        <v>44</v>
      </c>
      <c r="B60" s="89" t="s">
        <v>63</v>
      </c>
      <c r="C60" s="459"/>
      <c r="D60" s="460"/>
      <c r="E60" s="101"/>
      <c r="F60" s="307"/>
    </row>
    <row r="61" spans="1:6" ht="28.5" customHeight="1" thickBot="1" x14ac:dyDescent="0.3">
      <c r="A61" s="90" t="s">
        <v>44</v>
      </c>
      <c r="B61" s="89" t="s">
        <v>64</v>
      </c>
      <c r="C61" s="459"/>
      <c r="D61" s="460"/>
      <c r="E61" s="101"/>
      <c r="F61" s="307"/>
    </row>
    <row r="62" spans="1:6" ht="27.95" customHeight="1" thickBot="1" x14ac:dyDescent="0.3">
      <c r="A62" s="90" t="s">
        <v>50</v>
      </c>
      <c r="B62" s="89" t="s">
        <v>216</v>
      </c>
      <c r="C62" s="459"/>
      <c r="D62" s="460"/>
      <c r="E62" s="101"/>
      <c r="F62" s="307"/>
    </row>
    <row r="63" spans="1:6" ht="15.75" thickBot="1" x14ac:dyDescent="0.3">
      <c r="A63" s="90" t="s">
        <v>27</v>
      </c>
      <c r="B63" s="89" t="s">
        <v>215</v>
      </c>
      <c r="C63" s="461" t="s">
        <v>77</v>
      </c>
      <c r="D63" s="462"/>
      <c r="E63" s="102"/>
      <c r="F63" s="304" t="s">
        <v>516</v>
      </c>
    </row>
    <row r="64" spans="1:6" ht="51.95" customHeight="1" thickBot="1" x14ac:dyDescent="0.3">
      <c r="A64" s="90" t="s">
        <v>214</v>
      </c>
      <c r="B64" s="89" t="s">
        <v>213</v>
      </c>
      <c r="C64" s="461"/>
      <c r="D64" s="462"/>
      <c r="E64" s="102"/>
      <c r="F64" s="304"/>
    </row>
    <row r="65" spans="1:6" ht="41.1" customHeight="1" thickBot="1" x14ac:dyDescent="0.3">
      <c r="A65" s="90" t="s">
        <v>51</v>
      </c>
      <c r="B65" s="89" t="s">
        <v>212</v>
      </c>
      <c r="C65" s="459"/>
      <c r="D65" s="460"/>
      <c r="E65" s="101"/>
      <c r="F65" s="304"/>
    </row>
    <row r="66" spans="1:6" ht="42.6" customHeight="1" thickBot="1" x14ac:dyDescent="0.3">
      <c r="A66" s="90" t="s">
        <v>54</v>
      </c>
      <c r="B66" s="89" t="s">
        <v>80</v>
      </c>
      <c r="C66" s="459"/>
      <c r="D66" s="460"/>
      <c r="E66" s="101"/>
      <c r="F66" s="304"/>
    </row>
    <row r="67" spans="1:6" ht="84.95" customHeight="1" thickBot="1" x14ac:dyDescent="0.3">
      <c r="A67" s="90" t="s">
        <v>29</v>
      </c>
      <c r="B67" s="89" t="s">
        <v>211</v>
      </c>
      <c r="C67" s="459"/>
      <c r="D67" s="460"/>
      <c r="E67" s="101"/>
      <c r="F67" s="304"/>
    </row>
    <row r="68" spans="1:6" ht="53.1" customHeight="1" thickBot="1" x14ac:dyDescent="0.3">
      <c r="A68" s="90" t="s">
        <v>31</v>
      </c>
      <c r="B68" s="89" t="s">
        <v>210</v>
      </c>
      <c r="C68" s="461" t="s">
        <v>30</v>
      </c>
      <c r="D68" s="462"/>
      <c r="E68" s="102"/>
      <c r="F68" s="304" t="s">
        <v>435</v>
      </c>
    </row>
    <row r="69" spans="1:6" ht="29.45" customHeight="1" thickBot="1" x14ac:dyDescent="0.3">
      <c r="A69" s="90" t="s">
        <v>55</v>
      </c>
      <c r="B69" s="89" t="s">
        <v>95</v>
      </c>
      <c r="C69" s="459"/>
      <c r="D69" s="460"/>
      <c r="E69" s="101"/>
      <c r="F69" s="304"/>
    </row>
    <row r="70" spans="1:6" ht="29.45" customHeight="1" thickBot="1" x14ac:dyDescent="0.3">
      <c r="A70" s="90" t="s">
        <v>32</v>
      </c>
      <c r="B70" s="89" t="s">
        <v>96</v>
      </c>
      <c r="C70" s="461" t="s">
        <v>30</v>
      </c>
      <c r="D70" s="462"/>
      <c r="E70" s="102"/>
      <c r="F70" s="308" t="s">
        <v>436</v>
      </c>
    </row>
    <row r="71" spans="1:6" ht="41.1" customHeight="1" thickBot="1" x14ac:dyDescent="0.3">
      <c r="A71" s="90" t="s">
        <v>56</v>
      </c>
      <c r="B71" s="89" t="s">
        <v>167</v>
      </c>
      <c r="C71" s="459"/>
      <c r="D71" s="460"/>
      <c r="E71" s="101"/>
      <c r="F71" s="304"/>
    </row>
    <row r="72" spans="1:6" ht="27.95" customHeight="1" thickBot="1" x14ac:dyDescent="0.3">
      <c r="A72" s="90" t="s">
        <v>48</v>
      </c>
      <c r="B72" s="89" t="s">
        <v>47</v>
      </c>
      <c r="C72" s="459"/>
      <c r="D72" s="460"/>
      <c r="E72" s="101"/>
      <c r="F72" s="304"/>
    </row>
    <row r="73" spans="1:6" ht="27.6" customHeight="1" thickBot="1" x14ac:dyDescent="0.3">
      <c r="A73" s="90" t="s">
        <v>49</v>
      </c>
      <c r="B73" s="89" t="s">
        <v>489</v>
      </c>
      <c r="C73" s="459"/>
      <c r="D73" s="460"/>
      <c r="E73" s="101"/>
      <c r="F73" s="304" t="s">
        <v>280</v>
      </c>
    </row>
    <row r="74" spans="1:6" ht="26.25" thickBot="1" x14ac:dyDescent="0.3">
      <c r="A74" s="90" t="s">
        <v>46</v>
      </c>
      <c r="B74" s="89" t="s">
        <v>484</v>
      </c>
      <c r="C74" s="459"/>
      <c r="D74" s="460"/>
      <c r="E74" s="101"/>
      <c r="F74" s="304"/>
    </row>
    <row r="75" spans="1:6" ht="15.75" thickBot="1" x14ac:dyDescent="0.3"/>
    <row r="76" spans="1:6" ht="16.5" customHeight="1" thickBot="1" x14ac:dyDescent="0.3">
      <c r="A76" s="373" t="s">
        <v>168</v>
      </c>
      <c r="B76" s="374"/>
      <c r="C76" s="374"/>
      <c r="D76" s="375"/>
      <c r="E76" s="38"/>
      <c r="F76" s="181" t="s">
        <v>420</v>
      </c>
    </row>
    <row r="77" spans="1:6" ht="15.75" customHeight="1" thickBot="1" x14ac:dyDescent="0.3">
      <c r="A77" s="382" t="s">
        <v>169</v>
      </c>
      <c r="B77" s="383"/>
      <c r="C77" s="383"/>
      <c r="D77" s="384"/>
      <c r="E77" s="39"/>
      <c r="F77" s="188" t="s">
        <v>207</v>
      </c>
    </row>
    <row r="78" spans="1:6" ht="15" customHeight="1" x14ac:dyDescent="0.25">
      <c r="A78" s="385" t="s">
        <v>83</v>
      </c>
      <c r="B78" s="386"/>
      <c r="C78" s="386"/>
      <c r="D78" s="387"/>
      <c r="E78"/>
      <c r="F78" s="189">
        <f>-1337.32*('PPI Adj'!D6)</f>
        <v>-1560.6524400000001</v>
      </c>
    </row>
    <row r="79" spans="1:6" ht="15" customHeight="1" x14ac:dyDescent="0.25">
      <c r="A79" s="388" t="s">
        <v>34</v>
      </c>
      <c r="B79" s="389"/>
      <c r="C79" s="389"/>
      <c r="D79" s="390"/>
      <c r="E79"/>
      <c r="F79" s="190">
        <f>544.44*('PPI Adj'!D6)</f>
        <v>635.36148000000003</v>
      </c>
    </row>
    <row r="80" spans="1:6" x14ac:dyDescent="0.25">
      <c r="A80" s="388" t="s">
        <v>35</v>
      </c>
      <c r="B80" s="389"/>
      <c r="C80" s="389"/>
      <c r="D80" s="390"/>
      <c r="E80"/>
      <c r="F80" s="190">
        <f>696.15*('PPI Adj'!D6)</f>
        <v>812.40705000000003</v>
      </c>
    </row>
    <row r="81" spans="1:6" x14ac:dyDescent="0.25">
      <c r="A81" s="388" t="s">
        <v>36</v>
      </c>
      <c r="B81" s="389"/>
      <c r="C81" s="389"/>
      <c r="D81" s="390"/>
      <c r="E81"/>
      <c r="F81" s="190">
        <f>1340.82*('PPI Adj'!D6)</f>
        <v>1564.73694</v>
      </c>
    </row>
    <row r="82" spans="1:6" x14ac:dyDescent="0.25">
      <c r="A82" s="388" t="s">
        <v>209</v>
      </c>
      <c r="B82" s="389"/>
      <c r="C82" s="389"/>
      <c r="D82" s="390"/>
      <c r="E82"/>
      <c r="F82" s="190">
        <f>655.98*('PPI Adj'!D6)</f>
        <v>765.52866000000006</v>
      </c>
    </row>
    <row r="83" spans="1:6" x14ac:dyDescent="0.25">
      <c r="A83" s="388" t="s">
        <v>208</v>
      </c>
      <c r="B83" s="389"/>
      <c r="C83" s="389"/>
      <c r="D83" s="390"/>
      <c r="E83"/>
      <c r="F83" s="190" t="s">
        <v>183</v>
      </c>
    </row>
    <row r="84" spans="1:6" ht="15" customHeight="1" x14ac:dyDescent="0.25">
      <c r="A84" s="388" t="s">
        <v>86</v>
      </c>
      <c r="B84" s="389"/>
      <c r="C84" s="389"/>
      <c r="D84" s="390"/>
      <c r="E84"/>
      <c r="F84" s="190">
        <f>1202.76*('PPI Adj'!D6)</f>
        <v>1403.6209200000001</v>
      </c>
    </row>
    <row r="85" spans="1:6" ht="15" customHeight="1" x14ac:dyDescent="0.25">
      <c r="A85" s="388" t="s">
        <v>85</v>
      </c>
      <c r="B85" s="389"/>
      <c r="C85" s="389"/>
      <c r="D85" s="390"/>
      <c r="E85"/>
      <c r="F85" s="190" t="s">
        <v>181</v>
      </c>
    </row>
    <row r="86" spans="1:6" x14ac:dyDescent="0.25">
      <c r="A86" s="388" t="s">
        <v>13</v>
      </c>
      <c r="B86" s="389"/>
      <c r="C86" s="389"/>
      <c r="D86" s="390"/>
      <c r="E86"/>
      <c r="F86" s="190">
        <f>6533.28*('PPI Adj'!D6)</f>
        <v>7624.3377600000003</v>
      </c>
    </row>
    <row r="87" spans="1:6" ht="15" customHeight="1" x14ac:dyDescent="0.25">
      <c r="A87" s="388" t="s">
        <v>37</v>
      </c>
      <c r="B87" s="389"/>
      <c r="C87" s="389"/>
      <c r="D87" s="390"/>
      <c r="E87"/>
      <c r="F87" s="190">
        <f>97.5*('PPI Adj'!D6)</f>
        <v>113.7825</v>
      </c>
    </row>
    <row r="88" spans="1:6" x14ac:dyDescent="0.25">
      <c r="A88" s="388" t="s">
        <v>38</v>
      </c>
      <c r="B88" s="389"/>
      <c r="C88" s="389"/>
      <c r="D88" s="390"/>
      <c r="E88"/>
      <c r="F88" s="190">
        <f>397.8*('PPI Adj'!D6)</f>
        <v>464.23260000000005</v>
      </c>
    </row>
    <row r="89" spans="1:6" x14ac:dyDescent="0.25">
      <c r="A89" s="388" t="s">
        <v>201</v>
      </c>
      <c r="B89" s="389"/>
      <c r="C89" s="389"/>
      <c r="D89" s="390"/>
      <c r="E89"/>
      <c r="F89" s="190" t="s">
        <v>183</v>
      </c>
    </row>
    <row r="90" spans="1:6" x14ac:dyDescent="0.25">
      <c r="A90" s="388" t="s">
        <v>39</v>
      </c>
      <c r="B90" s="389"/>
      <c r="C90" s="389"/>
      <c r="D90" s="390"/>
      <c r="E90"/>
      <c r="F90" s="190">
        <f>666.12*('PPI Adj'!D6)</f>
        <v>777.36203999999998</v>
      </c>
    </row>
    <row r="91" spans="1:6" ht="15" customHeight="1" x14ac:dyDescent="0.25">
      <c r="A91" s="388" t="s">
        <v>40</v>
      </c>
      <c r="B91" s="389"/>
      <c r="C91" s="389"/>
      <c r="D91" s="390"/>
      <c r="E91"/>
      <c r="F91" s="190">
        <f>854.88*('PPI Adj'!D6)</f>
        <v>997.64496000000008</v>
      </c>
    </row>
    <row r="92" spans="1:6" x14ac:dyDescent="0.25">
      <c r="A92" s="388" t="s">
        <v>14</v>
      </c>
      <c r="B92" s="389"/>
      <c r="C92" s="389"/>
      <c r="D92" s="390"/>
      <c r="E92"/>
      <c r="F92" s="190">
        <f>21524.55*('PPI Adj'!D6)</f>
        <v>25119.149850000002</v>
      </c>
    </row>
    <row r="93" spans="1:6" x14ac:dyDescent="0.25">
      <c r="A93" s="388" t="s">
        <v>91</v>
      </c>
      <c r="B93" s="389"/>
      <c r="C93" s="389"/>
      <c r="D93" s="390"/>
      <c r="E93"/>
      <c r="F93" s="190">
        <f>1800*('PPI Adj'!D6)</f>
        <v>2100.6</v>
      </c>
    </row>
    <row r="94" spans="1:6" ht="15" customHeight="1" x14ac:dyDescent="0.25">
      <c r="A94" s="394" t="s">
        <v>275</v>
      </c>
      <c r="B94" s="395"/>
      <c r="C94" s="395"/>
      <c r="D94" s="396"/>
      <c r="E94"/>
      <c r="F94" s="190">
        <f>-413.21*('PPI Adj'!D6)</f>
        <v>-482.21607</v>
      </c>
    </row>
    <row r="95" spans="1:6" ht="15" customHeight="1" thickBot="1" x14ac:dyDescent="0.3">
      <c r="A95" s="391" t="s">
        <v>92</v>
      </c>
      <c r="B95" s="392"/>
      <c r="C95" s="392"/>
      <c r="D95" s="393"/>
      <c r="E95"/>
      <c r="F95" s="191">
        <f>1013.03*('PPI Adj'!D6)</f>
        <v>1182.2060100000001</v>
      </c>
    </row>
    <row r="96" spans="1:6" ht="15.75" thickBot="1" x14ac:dyDescent="0.3"/>
    <row r="97" spans="1:6" ht="16.5" thickBot="1" x14ac:dyDescent="0.3">
      <c r="A97" s="479" t="s">
        <v>166</v>
      </c>
      <c r="B97" s="480"/>
      <c r="C97" s="480"/>
      <c r="D97" s="481"/>
      <c r="E97" s="100"/>
      <c r="F97" s="290" t="s">
        <v>420</v>
      </c>
    </row>
    <row r="98" spans="1:6" ht="21.75" customHeight="1" thickBot="1" x14ac:dyDescent="0.3">
      <c r="A98" s="99" t="s">
        <v>33</v>
      </c>
      <c r="B98" s="98" t="s">
        <v>7</v>
      </c>
      <c r="C98" s="475" t="s">
        <v>165</v>
      </c>
      <c r="D98" s="476"/>
      <c r="E98" s="97"/>
      <c r="F98" s="291" t="s">
        <v>184</v>
      </c>
    </row>
    <row r="99" spans="1:6" ht="42.75" customHeight="1" thickTop="1" thickBot="1" x14ac:dyDescent="0.3">
      <c r="A99" s="96" t="s">
        <v>83</v>
      </c>
      <c r="B99" s="95" t="s">
        <v>146</v>
      </c>
      <c r="C99" s="477"/>
      <c r="D99" s="478"/>
      <c r="E99" s="88"/>
      <c r="F99" s="308" t="s">
        <v>507</v>
      </c>
    </row>
    <row r="100" spans="1:6" ht="32.25" customHeight="1" thickBot="1" x14ac:dyDescent="0.3">
      <c r="A100" s="90" t="s">
        <v>34</v>
      </c>
      <c r="B100" s="89" t="s">
        <v>107</v>
      </c>
      <c r="C100" s="461" t="s">
        <v>30</v>
      </c>
      <c r="D100" s="462"/>
      <c r="E100" s="91"/>
      <c r="F100" s="308" t="s">
        <v>439</v>
      </c>
    </row>
    <row r="101" spans="1:6" ht="60" customHeight="1" thickBot="1" x14ac:dyDescent="0.3">
      <c r="A101" s="90" t="s">
        <v>35</v>
      </c>
      <c r="B101" s="89" t="s">
        <v>97</v>
      </c>
      <c r="C101" s="459"/>
      <c r="D101" s="460"/>
      <c r="E101" s="88"/>
      <c r="F101" s="308"/>
    </row>
    <row r="102" spans="1:6" ht="35.25" customHeight="1" thickBot="1" x14ac:dyDescent="0.3">
      <c r="A102" s="90" t="s">
        <v>36</v>
      </c>
      <c r="B102" s="89" t="s">
        <v>84</v>
      </c>
      <c r="C102" s="461" t="s">
        <v>99</v>
      </c>
      <c r="D102" s="462"/>
      <c r="E102" s="91"/>
      <c r="F102" s="308" t="s">
        <v>441</v>
      </c>
    </row>
    <row r="103" spans="1:6" ht="14.25" customHeight="1" thickBot="1" x14ac:dyDescent="0.3">
      <c r="A103" s="463" t="s">
        <v>60</v>
      </c>
      <c r="B103" s="465" t="s">
        <v>133</v>
      </c>
      <c r="C103" s="467" t="s">
        <v>203</v>
      </c>
      <c r="D103" s="468"/>
      <c r="E103" s="91"/>
      <c r="F103" s="309" t="s">
        <v>278</v>
      </c>
    </row>
    <row r="104" spans="1:6" ht="15.75" thickBot="1" x14ac:dyDescent="0.3">
      <c r="A104" s="471"/>
      <c r="B104" s="472"/>
      <c r="C104" s="473" t="s">
        <v>202</v>
      </c>
      <c r="D104" s="474"/>
      <c r="E104" s="91"/>
      <c r="F104" s="309">
        <v>6005</v>
      </c>
    </row>
    <row r="105" spans="1:6" ht="15.75" thickBot="1" x14ac:dyDescent="0.3">
      <c r="A105" s="471"/>
      <c r="B105" s="472"/>
      <c r="C105" s="473" t="s">
        <v>114</v>
      </c>
      <c r="D105" s="474"/>
      <c r="E105" s="91"/>
      <c r="F105" s="309" t="s">
        <v>442</v>
      </c>
    </row>
    <row r="106" spans="1:6" ht="23.25" customHeight="1" thickBot="1" x14ac:dyDescent="0.3">
      <c r="A106" s="464"/>
      <c r="B106" s="466"/>
      <c r="C106" s="469" t="s">
        <v>115</v>
      </c>
      <c r="D106" s="470"/>
      <c r="E106" s="91"/>
      <c r="F106" s="309" t="s">
        <v>443</v>
      </c>
    </row>
    <row r="107" spans="1:6" ht="14.25" customHeight="1" thickBot="1" x14ac:dyDescent="0.3">
      <c r="A107" s="463" t="s">
        <v>61</v>
      </c>
      <c r="B107" s="465" t="s">
        <v>206</v>
      </c>
      <c r="C107" s="467" t="s">
        <v>205</v>
      </c>
      <c r="D107" s="468"/>
      <c r="E107" s="91"/>
      <c r="F107" s="309"/>
    </row>
    <row r="108" spans="1:6" ht="15.75" thickBot="1" x14ac:dyDescent="0.3">
      <c r="A108" s="471"/>
      <c r="B108" s="472"/>
      <c r="C108" s="473" t="s">
        <v>204</v>
      </c>
      <c r="D108" s="474"/>
      <c r="E108" s="91"/>
      <c r="F108" s="309"/>
    </row>
    <row r="109" spans="1:6" ht="15.75" customHeight="1" thickBot="1" x14ac:dyDescent="0.3">
      <c r="A109" s="471"/>
      <c r="B109" s="472"/>
      <c r="C109" s="473" t="s">
        <v>203</v>
      </c>
      <c r="D109" s="474"/>
      <c r="E109" s="91"/>
      <c r="F109" s="309"/>
    </row>
    <row r="110" spans="1:6" ht="15.75" thickBot="1" x14ac:dyDescent="0.3">
      <c r="A110" s="471"/>
      <c r="B110" s="472"/>
      <c r="C110" s="473" t="s">
        <v>202</v>
      </c>
      <c r="D110" s="474"/>
      <c r="E110" s="91"/>
      <c r="F110" s="309"/>
    </row>
    <row r="111" spans="1:6" ht="15.75" thickBot="1" x14ac:dyDescent="0.3">
      <c r="A111" s="471"/>
      <c r="B111" s="472"/>
      <c r="C111" s="473" t="s">
        <v>112</v>
      </c>
      <c r="D111" s="474"/>
      <c r="E111" s="91"/>
      <c r="F111" s="309"/>
    </row>
    <row r="112" spans="1:6" ht="15.75" thickBot="1" x14ac:dyDescent="0.3">
      <c r="A112" s="471"/>
      <c r="B112" s="472"/>
      <c r="C112" s="473" t="s">
        <v>113</v>
      </c>
      <c r="D112" s="474"/>
      <c r="E112" s="91"/>
      <c r="F112" s="309"/>
    </row>
    <row r="113" spans="1:6" ht="15.75" thickBot="1" x14ac:dyDescent="0.3">
      <c r="A113" s="471"/>
      <c r="B113" s="472"/>
      <c r="C113" s="473" t="s">
        <v>114</v>
      </c>
      <c r="D113" s="474"/>
      <c r="E113" s="91"/>
      <c r="F113" s="309"/>
    </row>
    <row r="114" spans="1:6" ht="15.75" thickBot="1" x14ac:dyDescent="0.3">
      <c r="A114" s="464"/>
      <c r="B114" s="466"/>
      <c r="C114" s="469" t="s">
        <v>115</v>
      </c>
      <c r="D114" s="470"/>
      <c r="E114" s="91"/>
      <c r="F114" s="309"/>
    </row>
    <row r="115" spans="1:6" ht="149.44999999999999" customHeight="1" thickBot="1" x14ac:dyDescent="0.3">
      <c r="A115" s="94" t="s">
        <v>86</v>
      </c>
      <c r="B115" s="93" t="s">
        <v>143</v>
      </c>
      <c r="C115" s="461" t="s">
        <v>104</v>
      </c>
      <c r="D115" s="462"/>
      <c r="E115" s="91"/>
      <c r="F115" s="308" t="s">
        <v>444</v>
      </c>
    </row>
    <row r="116" spans="1:6" ht="171.6" customHeight="1" thickBot="1" x14ac:dyDescent="0.3">
      <c r="A116" s="90" t="s">
        <v>85</v>
      </c>
      <c r="B116" s="92" t="s">
        <v>170</v>
      </c>
      <c r="C116" s="461" t="s">
        <v>104</v>
      </c>
      <c r="D116" s="462"/>
      <c r="E116" s="91"/>
      <c r="F116" s="308" t="s">
        <v>181</v>
      </c>
    </row>
    <row r="117" spans="1:6" x14ac:dyDescent="0.25">
      <c r="A117" s="463" t="s">
        <v>13</v>
      </c>
      <c r="B117" s="465" t="s">
        <v>98</v>
      </c>
      <c r="C117" s="467" t="s">
        <v>30</v>
      </c>
      <c r="D117" s="468"/>
      <c r="E117" s="91"/>
      <c r="F117" s="309" t="s">
        <v>446</v>
      </c>
    </row>
    <row r="118" spans="1:6" ht="35.1" customHeight="1" thickBot="1" x14ac:dyDescent="0.3">
      <c r="A118" s="464"/>
      <c r="B118" s="466"/>
      <c r="C118" s="469" t="s">
        <v>109</v>
      </c>
      <c r="D118" s="470"/>
      <c r="E118" s="91"/>
      <c r="F118" s="310">
        <v>1000</v>
      </c>
    </row>
    <row r="119" spans="1:6" ht="69" customHeight="1" thickBot="1" x14ac:dyDescent="0.3">
      <c r="A119" s="90" t="s">
        <v>37</v>
      </c>
      <c r="B119" s="89" t="s">
        <v>135</v>
      </c>
      <c r="C119" s="459"/>
      <c r="D119" s="460"/>
      <c r="E119" s="88"/>
      <c r="F119" s="308" t="s">
        <v>447</v>
      </c>
    </row>
    <row r="120" spans="1:6" ht="40.5" customHeight="1" thickBot="1" x14ac:dyDescent="0.3">
      <c r="A120" s="90" t="s">
        <v>38</v>
      </c>
      <c r="B120" s="89" t="s">
        <v>87</v>
      </c>
      <c r="C120" s="459"/>
      <c r="D120" s="460"/>
      <c r="E120" s="88"/>
      <c r="F120" s="308"/>
    </row>
    <row r="121" spans="1:6" ht="15.75" thickBot="1" x14ac:dyDescent="0.3">
      <c r="A121" s="90" t="s">
        <v>201</v>
      </c>
      <c r="B121" s="89" t="s">
        <v>200</v>
      </c>
      <c r="C121" s="461"/>
      <c r="D121" s="462"/>
      <c r="E121" s="91"/>
      <c r="F121" s="308"/>
    </row>
    <row r="122" spans="1:6" ht="29.45" customHeight="1" thickBot="1" x14ac:dyDescent="0.3">
      <c r="A122" s="90" t="s">
        <v>39</v>
      </c>
      <c r="B122" s="89" t="s">
        <v>106</v>
      </c>
      <c r="C122" s="461" t="s">
        <v>105</v>
      </c>
      <c r="D122" s="462"/>
      <c r="E122" s="91"/>
      <c r="F122" s="308" t="s">
        <v>499</v>
      </c>
    </row>
    <row r="123" spans="1:6" ht="51.75" thickBot="1" x14ac:dyDescent="0.3">
      <c r="A123" s="90" t="s">
        <v>40</v>
      </c>
      <c r="B123" s="89" t="s">
        <v>137</v>
      </c>
      <c r="C123" s="461" t="s">
        <v>100</v>
      </c>
      <c r="D123" s="462"/>
      <c r="E123" s="91"/>
      <c r="F123" s="310" t="s">
        <v>508</v>
      </c>
    </row>
    <row r="124" spans="1:6" ht="53.45" customHeight="1" thickBot="1" x14ac:dyDescent="0.3">
      <c r="A124" s="463" t="s">
        <v>14</v>
      </c>
      <c r="B124" s="465" t="s">
        <v>138</v>
      </c>
      <c r="C124" s="461" t="s">
        <v>139</v>
      </c>
      <c r="D124" s="462"/>
      <c r="E124" s="91"/>
      <c r="F124" s="308">
        <v>2</v>
      </c>
    </row>
    <row r="125" spans="1:6" ht="53.45" customHeight="1" thickBot="1" x14ac:dyDescent="0.3">
      <c r="A125" s="464"/>
      <c r="B125" s="466"/>
      <c r="C125" s="461" t="s">
        <v>279</v>
      </c>
      <c r="D125" s="462"/>
      <c r="E125" s="91"/>
      <c r="F125" s="308" t="s">
        <v>280</v>
      </c>
    </row>
    <row r="126" spans="1:6" ht="68.45" customHeight="1" thickBot="1" x14ac:dyDescent="0.3">
      <c r="A126" s="90" t="s">
        <v>91</v>
      </c>
      <c r="B126" s="89" t="s">
        <v>144</v>
      </c>
      <c r="C126" s="461" t="s">
        <v>100</v>
      </c>
      <c r="D126" s="462"/>
      <c r="E126" s="91"/>
      <c r="F126" s="308" t="s">
        <v>359</v>
      </c>
    </row>
    <row r="127" spans="1:6" ht="66.599999999999994" customHeight="1" thickBot="1" x14ac:dyDescent="0.3">
      <c r="A127" s="90" t="s">
        <v>92</v>
      </c>
      <c r="B127" s="89" t="s">
        <v>145</v>
      </c>
      <c r="C127" s="459"/>
      <c r="D127" s="460"/>
      <c r="E127" s="88"/>
      <c r="F127" s="308"/>
    </row>
  </sheetData>
  <sheetProtection algorithmName="SHA-512" hashValue="FuGKYH3xz06NbDrv6FbwVC6z3RBKtDhE/wnSOnjtitwfPfSeYo0nczPYHEgXPuWuxSoZPJQ7DtSDWqhqrQQZXw==" saltValue="6WON208Gznomasr+xgzgfQ==" spinCount="100000" sheet="1" objects="1" scenarios="1"/>
  <mergeCells count="142">
    <mergeCell ref="C126:D126"/>
    <mergeCell ref="C127:D127"/>
    <mergeCell ref="C119:D119"/>
    <mergeCell ref="C120:D120"/>
    <mergeCell ref="C121:D121"/>
    <mergeCell ref="C122:D122"/>
    <mergeCell ref="C123:D123"/>
    <mergeCell ref="A124:A125"/>
    <mergeCell ref="B124:B125"/>
    <mergeCell ref="C124:D124"/>
    <mergeCell ref="C125:D125"/>
    <mergeCell ref="C115:D115"/>
    <mergeCell ref="C116:D116"/>
    <mergeCell ref="A117:A118"/>
    <mergeCell ref="B117:B118"/>
    <mergeCell ref="C117:D117"/>
    <mergeCell ref="C118:D118"/>
    <mergeCell ref="A107:A114"/>
    <mergeCell ref="B107:B114"/>
    <mergeCell ref="C107:D107"/>
    <mergeCell ref="C108:D108"/>
    <mergeCell ref="C109:D109"/>
    <mergeCell ref="C110:D110"/>
    <mergeCell ref="C111:D111"/>
    <mergeCell ref="C112:D112"/>
    <mergeCell ref="C113:D113"/>
    <mergeCell ref="C114:D114"/>
    <mergeCell ref="A103:A106"/>
    <mergeCell ref="B103:B106"/>
    <mergeCell ref="C103:D103"/>
    <mergeCell ref="C104:D104"/>
    <mergeCell ref="C105:D105"/>
    <mergeCell ref="C106:D106"/>
    <mergeCell ref="A97:D97"/>
    <mergeCell ref="C98:D98"/>
    <mergeCell ref="C99:D99"/>
    <mergeCell ref="C100:D100"/>
    <mergeCell ref="C101:D101"/>
    <mergeCell ref="C102:D102"/>
    <mergeCell ref="A90:D90"/>
    <mergeCell ref="A91:D91"/>
    <mergeCell ref="A92:D92"/>
    <mergeCell ref="A93:D93"/>
    <mergeCell ref="A94:D94"/>
    <mergeCell ref="A95:D95"/>
    <mergeCell ref="A84:D84"/>
    <mergeCell ref="A85:D85"/>
    <mergeCell ref="A86:D86"/>
    <mergeCell ref="A87:D87"/>
    <mergeCell ref="A88:D88"/>
    <mergeCell ref="A89:D89"/>
    <mergeCell ref="A78:D78"/>
    <mergeCell ref="A79:D79"/>
    <mergeCell ref="A80:D80"/>
    <mergeCell ref="A81:D81"/>
    <mergeCell ref="A82:D82"/>
    <mergeCell ref="A83:D83"/>
    <mergeCell ref="C71:D71"/>
    <mergeCell ref="C72:D72"/>
    <mergeCell ref="C73:D73"/>
    <mergeCell ref="C74:D74"/>
    <mergeCell ref="A76:D76"/>
    <mergeCell ref="A77:D77"/>
    <mergeCell ref="C65:D65"/>
    <mergeCell ref="C66:D66"/>
    <mergeCell ref="C67:D67"/>
    <mergeCell ref="C68:D68"/>
    <mergeCell ref="C69:D69"/>
    <mergeCell ref="C70:D70"/>
    <mergeCell ref="C59:D59"/>
    <mergeCell ref="C60:D60"/>
    <mergeCell ref="C61:D61"/>
    <mergeCell ref="C62:D62"/>
    <mergeCell ref="C63:D63"/>
    <mergeCell ref="C64:D64"/>
    <mergeCell ref="C55:D55"/>
    <mergeCell ref="A56:A58"/>
    <mergeCell ref="B56:B58"/>
    <mergeCell ref="C56:D56"/>
    <mergeCell ref="C57:D57"/>
    <mergeCell ref="C58:D58"/>
    <mergeCell ref="C51:D51"/>
    <mergeCell ref="A52:A54"/>
    <mergeCell ref="B52:B54"/>
    <mergeCell ref="C52:D52"/>
    <mergeCell ref="C53:D53"/>
    <mergeCell ref="C54:D54"/>
    <mergeCell ref="C43:D43"/>
    <mergeCell ref="A44:A51"/>
    <mergeCell ref="B44:B51"/>
    <mergeCell ref="C44:D44"/>
    <mergeCell ref="C45:D45"/>
    <mergeCell ref="C46:D46"/>
    <mergeCell ref="C47:D47"/>
    <mergeCell ref="C48:D48"/>
    <mergeCell ref="C49:D49"/>
    <mergeCell ref="C50:D50"/>
    <mergeCell ref="C39:D39"/>
    <mergeCell ref="A40:A42"/>
    <mergeCell ref="B40:B42"/>
    <mergeCell ref="C40:D40"/>
    <mergeCell ref="C41:D41"/>
    <mergeCell ref="C42:D42"/>
    <mergeCell ref="A35:A36"/>
    <mergeCell ref="B35:B36"/>
    <mergeCell ref="C35:D35"/>
    <mergeCell ref="C36:D36"/>
    <mergeCell ref="A37:A38"/>
    <mergeCell ref="B37:B38"/>
    <mergeCell ref="C37:D37"/>
    <mergeCell ref="C38:D38"/>
    <mergeCell ref="A30:A34"/>
    <mergeCell ref="B30:B34"/>
    <mergeCell ref="C30:D30"/>
    <mergeCell ref="C31:D31"/>
    <mergeCell ref="C32:D32"/>
    <mergeCell ref="C33:D33"/>
    <mergeCell ref="C34:D34"/>
    <mergeCell ref="C25:D25"/>
    <mergeCell ref="C26:D26"/>
    <mergeCell ref="A27:A28"/>
    <mergeCell ref="B27:B28"/>
    <mergeCell ref="C27:D27"/>
    <mergeCell ref="C28:D28"/>
    <mergeCell ref="B22:D22"/>
    <mergeCell ref="A24:D24"/>
    <mergeCell ref="B10:D10"/>
    <mergeCell ref="B11:D11"/>
    <mergeCell ref="B12:D12"/>
    <mergeCell ref="B13:D13"/>
    <mergeCell ref="B14:D14"/>
    <mergeCell ref="B15:D15"/>
    <mergeCell ref="C29:D29"/>
    <mergeCell ref="A3:D3"/>
    <mergeCell ref="A4:D4"/>
    <mergeCell ref="A6:D6"/>
    <mergeCell ref="B8:D8"/>
    <mergeCell ref="B9:D9"/>
    <mergeCell ref="B16:D16"/>
    <mergeCell ref="B17:D17"/>
    <mergeCell ref="A19:D19"/>
    <mergeCell ref="B21:D21"/>
  </mergeCells>
  <conditionalFormatting sqref="C61">
    <cfRule type="expression" dxfId="15" priority="51">
      <formula>#REF!="NO"</formula>
    </cfRule>
  </conditionalFormatting>
  <conditionalFormatting sqref="C125 E125">
    <cfRule type="expression" dxfId="14" priority="50">
      <formula>#REF!="NO"</formula>
    </cfRule>
  </conditionalFormatting>
  <conditionalFormatting sqref="C40:D42">
    <cfRule type="expression" dxfId="13" priority="45">
      <formula>$F$2="NO"</formula>
    </cfRule>
  </conditionalFormatting>
  <conditionalFormatting sqref="C55:D55">
    <cfRule type="expression" dxfId="12" priority="8">
      <formula>$F$2="NO"</formula>
    </cfRule>
  </conditionalFormatting>
  <conditionalFormatting sqref="C26:E39 E55 C126:E127">
    <cfRule type="expression" dxfId="11" priority="52">
      <formula>#REF!="NO"</formula>
    </cfRule>
  </conditionalFormatting>
  <conditionalFormatting sqref="C43:E54">
    <cfRule type="expression" dxfId="10" priority="44">
      <formula>#REF!="NO"</formula>
    </cfRule>
  </conditionalFormatting>
  <conditionalFormatting sqref="C56:E74">
    <cfRule type="expression" dxfId="9" priority="48">
      <formula>#REF!="NO"</formula>
    </cfRule>
  </conditionalFormatting>
  <conditionalFormatting sqref="C99:E124">
    <cfRule type="expression" dxfId="8" priority="47">
      <formula>#REF!="NO"</formula>
    </cfRule>
  </conditionalFormatting>
  <conditionalFormatting sqref="E40:E42">
    <cfRule type="expression" dxfId="7" priority="46">
      <formula>#REF!="NO"</formula>
    </cfRule>
  </conditionalFormatting>
  <conditionalFormatting sqref="F8:F9">
    <cfRule type="expression" dxfId="6" priority="28">
      <formula>#REF!="NO"</formula>
    </cfRule>
  </conditionalFormatting>
  <conditionalFormatting sqref="F10:F17">
    <cfRule type="expression" dxfId="5" priority="1">
      <formula>$F$2="NO"</formula>
    </cfRule>
  </conditionalFormatting>
  <conditionalFormatting sqref="F21:F22">
    <cfRule type="expression" dxfId="4" priority="37">
      <formula>#REF!="NO"</formula>
    </cfRule>
  </conditionalFormatting>
  <conditionalFormatting sqref="F26:F74">
    <cfRule type="expression" dxfId="3" priority="10">
      <formula>#REF!="NO"</formula>
    </cfRule>
  </conditionalFormatting>
  <conditionalFormatting sqref="F78:F95">
    <cfRule type="expression" dxfId="2" priority="4">
      <formula>#REF!="NO"</formula>
    </cfRule>
  </conditionalFormatting>
  <conditionalFormatting sqref="F99:F116">
    <cfRule type="expression" dxfId="1" priority="11">
      <formula>#REF!="NO"</formula>
    </cfRule>
  </conditionalFormatting>
  <conditionalFormatting sqref="F118:F127">
    <cfRule type="expression" dxfId="0" priority="9">
      <formula>#REF!="NO"</formula>
    </cfRule>
  </conditionalFormatting>
  <dataValidations disablePrompts="1" count="3">
    <dataValidation type="decimal" allowBlank="1" showInputMessage="1" showErrorMessage="1" error="The Additional Options NYS Discount entered must be greater than 0%, or less than or equal to 100%." sqref="F22" xr:uid="{8AEC73C3-1857-46EE-8B49-A7985FC103F7}">
      <formula1>0.01</formula1>
      <formula2>100</formula2>
    </dataValidation>
    <dataValidation type="decimal" allowBlank="1" showInputMessage="1" showErrorMessage="1" error="Invalid Entry - Bidder must enter a value that is greater than $0" sqref="F21" xr:uid="{CFC5B5EB-98F6-4605-9CA8-37D136744CBA}">
      <formula1>0</formula1>
      <formula2>9E+21</formula2>
    </dataValidation>
    <dataValidation type="decimal" operator="greaterThanOrEqual" allowBlank="1" showInputMessage="1" showErrorMessage="1" error="The Pickup Allowance cannot be a negative number." sqref="F16" xr:uid="{DD4AD6DE-6221-44A9-AD3B-4642C2FEE7EE}">
      <formula1>0</formula1>
    </dataValidation>
  </dataValidations>
  <pageMargins left="0.7" right="0.7" top="0.75" bottom="0.75" header="0.3" footer="0.3"/>
  <pageSetup scale="83" fitToHeight="0" orientation="landscape" r:id="rId1"/>
  <rowBreaks count="2" manualBreakCount="2">
    <brk id="51" max="16383" man="1"/>
    <brk id="8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EAC60-F9E1-4D68-B06E-52DDC6B81E15}">
  <dimension ref="A1:L6"/>
  <sheetViews>
    <sheetView workbookViewId="0">
      <selection activeCell="I8" sqref="I8"/>
    </sheetView>
  </sheetViews>
  <sheetFormatPr defaultRowHeight="15" x14ac:dyDescent="0.25"/>
  <cols>
    <col min="2" max="2" width="12" bestFit="1" customWidth="1"/>
    <col min="6" max="6" width="12" bestFit="1" customWidth="1"/>
    <col min="10" max="12" width="9.140625" hidden="1" customWidth="1"/>
    <col min="13" max="14" width="9.140625" customWidth="1"/>
  </cols>
  <sheetData>
    <row r="1" spans="1:12" x14ac:dyDescent="0.25">
      <c r="A1" s="518" t="s">
        <v>544</v>
      </c>
      <c r="B1" s="518"/>
      <c r="C1" s="518"/>
      <c r="D1" s="518"/>
      <c r="F1" s="517" t="s">
        <v>542</v>
      </c>
      <c r="G1" s="517"/>
      <c r="H1" s="517"/>
    </row>
    <row r="2" spans="1:12" x14ac:dyDescent="0.25">
      <c r="B2" s="59" t="s">
        <v>192</v>
      </c>
      <c r="C2" s="60"/>
      <c r="D2" s="61" t="s">
        <v>196</v>
      </c>
      <c r="F2" s="517"/>
      <c r="G2" s="517"/>
      <c r="H2" s="517"/>
      <c r="I2" s="61"/>
      <c r="J2" s="7"/>
      <c r="K2" s="7"/>
      <c r="L2" s="7"/>
    </row>
    <row r="3" spans="1:12" ht="30" x14ac:dyDescent="0.25">
      <c r="B3" s="161" t="s">
        <v>276</v>
      </c>
      <c r="C3" s="60"/>
      <c r="D3" s="62">
        <v>322.79199999999997</v>
      </c>
      <c r="F3" s="161" t="s">
        <v>541</v>
      </c>
      <c r="G3" s="60"/>
      <c r="H3" s="62">
        <v>361.392</v>
      </c>
      <c r="I3" s="62"/>
      <c r="J3" s="161" t="s">
        <v>193</v>
      </c>
      <c r="K3" s="60"/>
      <c r="L3" s="63">
        <v>243.1</v>
      </c>
    </row>
    <row r="4" spans="1:12" ht="30" x14ac:dyDescent="0.25">
      <c r="B4" s="162" t="s">
        <v>546</v>
      </c>
      <c r="C4" s="60"/>
      <c r="D4" s="321">
        <v>376.62</v>
      </c>
      <c r="F4" s="162" t="str">
        <f>B4</f>
        <v>10/2026 PPI</v>
      </c>
      <c r="G4" s="60"/>
      <c r="H4" s="321">
        <f>D4</f>
        <v>376.62</v>
      </c>
      <c r="I4" s="64"/>
      <c r="J4" s="162" t="str">
        <f>B4</f>
        <v>10/2026 PPI</v>
      </c>
      <c r="K4" s="60"/>
      <c r="L4" s="62">
        <f>D4</f>
        <v>376.62</v>
      </c>
    </row>
    <row r="5" spans="1:12" ht="30" x14ac:dyDescent="0.25">
      <c r="B5" s="162" t="s">
        <v>194</v>
      </c>
      <c r="C5" s="60"/>
      <c r="D5" s="65">
        <f>D4/D3</f>
        <v>1.166757540459491</v>
      </c>
      <c r="F5" s="162" t="s">
        <v>194</v>
      </c>
      <c r="G5" s="60"/>
      <c r="H5" s="65">
        <f>H4/H3</f>
        <v>1.0421370699960155</v>
      </c>
      <c r="I5" s="65"/>
      <c r="J5" s="162" t="s">
        <v>194</v>
      </c>
      <c r="K5" s="60"/>
      <c r="L5" s="65">
        <f>L4/L3</f>
        <v>1.5492389962978199</v>
      </c>
    </row>
    <row r="6" spans="1:12" ht="30" x14ac:dyDescent="0.25">
      <c r="B6" s="163" t="s">
        <v>195</v>
      </c>
      <c r="C6" s="60"/>
      <c r="D6" s="66">
        <f>ROUND(D5,3)</f>
        <v>1.167</v>
      </c>
      <c r="F6" s="163" t="s">
        <v>195</v>
      </c>
      <c r="G6" s="60"/>
      <c r="H6" s="66">
        <f>ROUND(H5,3)</f>
        <v>1.042</v>
      </c>
      <c r="I6" s="66"/>
      <c r="J6" s="163" t="s">
        <v>195</v>
      </c>
      <c r="K6" s="60"/>
      <c r="L6" s="66">
        <f>ROUND(L5,3)</f>
        <v>1.5489999999999999</v>
      </c>
    </row>
  </sheetData>
  <mergeCells count="2">
    <mergeCell ref="F1:H2"/>
    <mergeCell ref="A1:D1"/>
  </mergeCells>
  <hyperlinks>
    <hyperlink ref="D2" r:id="rId1" display="WPU141302" xr:uid="{5C423689-4FB7-4124-99DD-4A6E2DE9B2C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38</vt:i4>
      </vt:variant>
    </vt:vector>
  </HeadingPairs>
  <TitlesOfParts>
    <vt:vector size="60" baseType="lpstr">
      <vt:lpstr>Attachment 1 - Summary</vt:lpstr>
      <vt:lpstr>A (Item 2-G)</vt:lpstr>
      <vt:lpstr>A (Item 3-G)</vt:lpstr>
      <vt:lpstr>A (Item 4-G)</vt:lpstr>
      <vt:lpstr>A (Item 4-EV)</vt:lpstr>
      <vt:lpstr>A (Item 5-G)</vt:lpstr>
      <vt:lpstr>A (Item 5-EV)</vt:lpstr>
      <vt:lpstr>C (Item 1-D)</vt:lpstr>
      <vt:lpstr>C (Item 1-EV) </vt:lpstr>
      <vt:lpstr>C (Item 2-D)</vt:lpstr>
      <vt:lpstr>C (Item 3-D)</vt:lpstr>
      <vt:lpstr>C (Item 2-EV) </vt:lpstr>
      <vt:lpstr>C (Item 4-D)</vt:lpstr>
      <vt:lpstr>C (Item 4-EV)</vt:lpstr>
      <vt:lpstr>D (Item 1-D)</vt:lpstr>
      <vt:lpstr>D (Item 2-D)</vt:lpstr>
      <vt:lpstr>D (Item 3-D)</vt:lpstr>
      <vt:lpstr>D (Item 4-D)</vt:lpstr>
      <vt:lpstr>D (Item 4-EV)</vt:lpstr>
      <vt:lpstr>D (Item 5-D)</vt:lpstr>
      <vt:lpstr>D (Item 5-EV)</vt:lpstr>
      <vt:lpstr>PPI Adj</vt:lpstr>
      <vt:lpstr>'A (Item 3-G)'!Print_Area</vt:lpstr>
      <vt:lpstr>'A (Item 4-EV)'!Print_Area</vt:lpstr>
      <vt:lpstr>'A (Item 4-G)'!Print_Area</vt:lpstr>
      <vt:lpstr>'A (Item 5-EV)'!Print_Area</vt:lpstr>
      <vt:lpstr>'A (Item 5-G)'!Print_Area</vt:lpstr>
      <vt:lpstr>'Attachment 1 - Summary'!Print_Area</vt:lpstr>
      <vt:lpstr>'C (Item 1-D)'!Print_Area</vt:lpstr>
      <vt:lpstr>'C (Item 1-EV) '!Print_Area</vt:lpstr>
      <vt:lpstr>'C (Item 2-D)'!Print_Area</vt:lpstr>
      <vt:lpstr>'C (Item 2-EV) '!Print_Area</vt:lpstr>
      <vt:lpstr>'C (Item 3-D)'!Print_Area</vt:lpstr>
      <vt:lpstr>'C (Item 4-D)'!Print_Area</vt:lpstr>
      <vt:lpstr>'C (Item 4-EV)'!Print_Area</vt:lpstr>
      <vt:lpstr>'D (Item 1-D)'!Print_Area</vt:lpstr>
      <vt:lpstr>'D (Item 2-D)'!Print_Area</vt:lpstr>
      <vt:lpstr>'D (Item 3-D)'!Print_Area</vt:lpstr>
      <vt:lpstr>'D (Item 4-D)'!Print_Area</vt:lpstr>
      <vt:lpstr>'D (Item 5-D)'!Print_Area</vt:lpstr>
      <vt:lpstr>'A (Item 2-G)'!Print_Titles</vt:lpstr>
      <vt:lpstr>'A (Item 3-G)'!Print_Titles</vt:lpstr>
      <vt:lpstr>'A (Item 4-EV)'!Print_Titles</vt:lpstr>
      <vt:lpstr>'A (Item 4-G)'!Print_Titles</vt:lpstr>
      <vt:lpstr>'A (Item 5-EV)'!Print_Titles</vt:lpstr>
      <vt:lpstr>'A (Item 5-G)'!Print_Titles</vt:lpstr>
      <vt:lpstr>'C (Item 1-D)'!Print_Titles</vt:lpstr>
      <vt:lpstr>'C (Item 1-EV) '!Print_Titles</vt:lpstr>
      <vt:lpstr>'C (Item 2-D)'!Print_Titles</vt:lpstr>
      <vt:lpstr>'C (Item 2-EV) '!Print_Titles</vt:lpstr>
      <vt:lpstr>'C (Item 3-D)'!Print_Titles</vt:lpstr>
      <vt:lpstr>'C (Item 4-D)'!Print_Titles</vt:lpstr>
      <vt:lpstr>'C (Item 4-EV)'!Print_Titles</vt:lpstr>
      <vt:lpstr>'D (Item 1-D)'!Print_Titles</vt:lpstr>
      <vt:lpstr>'D (Item 2-D)'!Print_Titles</vt:lpstr>
      <vt:lpstr>'D (Item 3-D)'!Print_Titles</vt:lpstr>
      <vt:lpstr>'D (Item 4-D)'!Print_Titles</vt:lpstr>
      <vt:lpstr>'D (Item 4-EV)'!Print_Titles</vt:lpstr>
      <vt:lpstr>'D (Item 5-D)'!Print_Titles</vt:lpstr>
      <vt:lpstr>'D (Item 5-EV)'!Print_Titles</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Matthew</dc:creator>
  <cp:lastModifiedBy>Li, Cheung (OGS)</cp:lastModifiedBy>
  <cp:lastPrinted>2016-09-22T15:24:18Z</cp:lastPrinted>
  <dcterms:created xsi:type="dcterms:W3CDTF">2015-03-13T14:08:01Z</dcterms:created>
  <dcterms:modified xsi:type="dcterms:W3CDTF">2026-10-15T14:02:41Z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518121192</vt:i4>
  </property>
  <property fmtid="{D5CDD505-2E9C-101B-9397-08002B2CF9AE}" pid="4" name="_EmailSubject">
    <vt:lpwstr>22945 Price Pages</vt:lpwstr>
  </property>
  <property fmtid="{D5CDD505-2E9C-101B-9397-08002B2CF9AE}" pid="5" name="_AuthorEmail">
    <vt:lpwstr>Edward.Sawicki@dot.ny.gov</vt:lpwstr>
  </property>
  <property fmtid="{D5CDD505-2E9C-101B-9397-08002B2CF9AE}" pid="6" name="_AuthorEmailDisplayName">
    <vt:lpwstr>Sawicki, Edward J (DOT)</vt:lpwstr>
  </property>
  <property fmtid="{D5CDD505-2E9C-101B-9397-08002B2CF9AE}" pid="7" name="_ReviewingToolsShownOnce">
    <vt:lpwstr/>
  </property>
</Properties>
</file>