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V:\ProcurementServices\PSTm01(Gardner)\Auto\40524-23254 Buses,School\PriceAdjustments\04-2024 PPI\"/>
    </mc:Choice>
  </mc:AlternateContent>
  <xr:revisionPtr revIDLastSave="0" documentId="13_ncr:1_{D2F8A99E-4A05-409A-B19E-05E62555E7CD}" xr6:coauthVersionLast="47" xr6:coauthVersionMax="47" xr10:uidLastSave="{00000000-0000-0000-0000-000000000000}"/>
  <workbookProtection workbookAlgorithmName="SHA-512" workbookHashValue="TNH774khtRDkVD20thGq6qaT8UUimM3oPxMgpK6NRMwET0YsJYd6es73sqPplZ+WNmNQw7fOXu434IoEo+B5xA==" workbookSaltValue="lrGxNpO/O4GmCpHK6KIVtg==" workbookSpinCount="100000" lockStructure="1"/>
  <bookViews>
    <workbookView xWindow="-28920" yWindow="-120" windowWidth="29040" windowHeight="15840" xr2:uid="{00000000-000D-0000-FFFF-FFFF00000000}"/>
  </bookViews>
  <sheets>
    <sheet name="Award Summary" sheetId="2" r:id="rId1"/>
    <sheet name="PPI Adj" sheetId="3" state="hidden" r:id="rId2"/>
  </sheets>
  <definedNames>
    <definedName name="_xlnm.Print_Area" localSheetId="0">'Award Summary'!$A$1:$N$138</definedName>
    <definedName name="_xlnm.Print_Titles" localSheetId="0">'Award Summary'!$1:$2</definedName>
    <definedName name="Z_FB9A4F81_F081_49F4_90CF_12DFB81B8806_.wvu.PrintArea" localSheetId="0" hidden="1">'Award Summary'!$A$16:$M$20</definedName>
    <definedName name="Z_FB9A4F81_F081_49F4_90CF_12DFB81B8806_.wvu.PrintTitles" localSheetId="0" hidden="1">'Award Summary'!#REF!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D5" i="3" s="1"/>
  <c r="G118" i="2" s="1"/>
  <c r="L25" i="2" l="1"/>
  <c r="F27" i="2"/>
  <c r="F28" i="2"/>
  <c r="I135" i="2"/>
  <c r="K136" i="2"/>
  <c r="G135" i="2"/>
  <c r="G134" i="2"/>
  <c r="G127" i="2"/>
  <c r="K138" i="2"/>
  <c r="K137" i="2"/>
  <c r="K129" i="2"/>
  <c r="G128" i="2"/>
  <c r="G119" i="2"/>
  <c r="K113" i="2"/>
  <c r="G112" i="2"/>
  <c r="K120" i="2"/>
  <c r="G111" i="2"/>
  <c r="K122" i="2"/>
  <c r="K106" i="2"/>
  <c r="K121" i="2"/>
  <c r="G105" i="2"/>
  <c r="G104" i="2"/>
  <c r="K96" i="2"/>
  <c r="F93" i="2"/>
  <c r="F95" i="2"/>
  <c r="G95" i="2"/>
  <c r="H95" i="2"/>
  <c r="G94" i="2"/>
  <c r="H93" i="2"/>
  <c r="G93" i="2"/>
  <c r="I94" i="2"/>
  <c r="K99" i="2"/>
  <c r="K98" i="2"/>
  <c r="K97" i="2"/>
  <c r="G87" i="2"/>
  <c r="H86" i="2"/>
  <c r="G86" i="2"/>
  <c r="F86" i="2"/>
  <c r="I87" i="2"/>
  <c r="F88" i="2"/>
  <c r="G88" i="2"/>
  <c r="K81" i="2"/>
  <c r="G79" i="2"/>
  <c r="F79" i="2"/>
  <c r="H78" i="2"/>
  <c r="G78" i="2"/>
  <c r="H79" i="2"/>
  <c r="F78" i="2"/>
  <c r="G80" i="2"/>
  <c r="K73" i="2"/>
  <c r="H71" i="2"/>
  <c r="G71" i="2"/>
  <c r="F71" i="2"/>
  <c r="G70" i="2"/>
  <c r="F72" i="2"/>
  <c r="G72" i="2"/>
  <c r="L59" i="2"/>
  <c r="L57" i="2"/>
  <c r="L56" i="2"/>
  <c r="F56" i="2"/>
  <c r="K62" i="2"/>
  <c r="F61" i="2"/>
  <c r="H60" i="2"/>
  <c r="F58" i="2"/>
  <c r="F59" i="2"/>
  <c r="F60" i="2"/>
  <c r="L61" i="2"/>
  <c r="F57" i="2"/>
  <c r="K49" i="2"/>
  <c r="K40" i="2"/>
  <c r="F33" i="2"/>
  <c r="L33" i="2"/>
  <c r="F48" i="2"/>
  <c r="K39" i="2"/>
  <c r="F47" i="2"/>
  <c r="F26" i="2"/>
  <c r="F38" i="2"/>
  <c r="F45" i="2"/>
  <c r="L37" i="2"/>
  <c r="L46" i="2"/>
  <c r="F25" i="2"/>
  <c r="F37" i="2"/>
  <c r="L50" i="2"/>
  <c r="F46" i="2"/>
  <c r="L39" i="2"/>
  <c r="F36" i="2"/>
  <c r="K51" i="2"/>
  <c r="L45" i="2"/>
  <c r="F35" i="2"/>
  <c r="K50" i="2"/>
  <c r="F34" i="2"/>
</calcChain>
</file>

<file path=xl/sharedStrings.xml><?xml version="1.0" encoding="utf-8"?>
<sst xmlns="http://schemas.openxmlformats.org/spreadsheetml/2006/main" count="622" uniqueCount="131">
  <si>
    <t>Lot A (Item 1): Type A-1, SRW, Van Body with Roof and Window Conversion, 4 Rows, Minimum 16 Pupils</t>
  </si>
  <si>
    <t>Chassis Make</t>
  </si>
  <si>
    <t>Chassis Model</t>
  </si>
  <si>
    <t>Body Make</t>
  </si>
  <si>
    <t>Body Model</t>
  </si>
  <si>
    <t>Lot A (Item 2): Type A-1, SRW, Cutaway, 4 Rows, Minimum 16 Pupils</t>
  </si>
  <si>
    <t>Ford</t>
  </si>
  <si>
    <t>Thomas</t>
  </si>
  <si>
    <t>Minotour</t>
  </si>
  <si>
    <t>Microbird</t>
  </si>
  <si>
    <t>Collins Bus</t>
  </si>
  <si>
    <t>Lot A (Item 3): Type A-2, DRW, Cutaway, 4 Rows, Minimum 20 Pupils</t>
  </si>
  <si>
    <t>SST</t>
  </si>
  <si>
    <t>E-350</t>
  </si>
  <si>
    <t>G5</t>
  </si>
  <si>
    <t>Lot A (Item 4): Type A-2, DRW, Cutaway, 4 Rows, Minimum 24 Pupils</t>
  </si>
  <si>
    <t>Lot A (Item 5): Type A-2, DRW, Cutaway, 5 Rows, Minimum 30 Pupils</t>
  </si>
  <si>
    <t>DH500</t>
  </si>
  <si>
    <t>Lot B</t>
  </si>
  <si>
    <t>Lot C (Item 1): Type C, 28 Pupil Conventional Front-Engine Bus, Minimum 28 Pupils</t>
  </si>
  <si>
    <t>CE</t>
  </si>
  <si>
    <t>Freightliner</t>
  </si>
  <si>
    <t>B2</t>
  </si>
  <si>
    <t>C2</t>
  </si>
  <si>
    <t>Blue Bird</t>
  </si>
  <si>
    <t>BBCV</t>
  </si>
  <si>
    <t>Vision</t>
  </si>
  <si>
    <t>Lot C (Item 2): Type C, 46 Pupil Conventional Front-Engine Bus, Minimum 46 Pupils</t>
  </si>
  <si>
    <t>Lot C (Item 3): Type C, 58 Pupil Conventional Front-Engine Bus, Minimum 58 Pupils</t>
  </si>
  <si>
    <t>Lot C (Item 4): Type C, 64 Pupil Conventional Front-Engine Bus, Minimum 64 Pupils</t>
  </si>
  <si>
    <t>CHS8</t>
  </si>
  <si>
    <t>EFX</t>
  </si>
  <si>
    <t>T3FE</t>
  </si>
  <si>
    <t>All American</t>
  </si>
  <si>
    <t>Lot D (Item 2): Type D, 65 Pupil Forward Control Transit Style Bus, Minimum 65 Pupils</t>
  </si>
  <si>
    <t>Lot D (Item 3): Type D, 77 Pupil Forward Control Transit Style Bus, Minimum 77 Pupils</t>
  </si>
  <si>
    <t>Lot D (Item 4): Type D, Type D, 65 Pupil Rear Engine (Pusher) Bus, Minimum 65 Pupils</t>
  </si>
  <si>
    <t>CHSY</t>
  </si>
  <si>
    <t>HDX</t>
  </si>
  <si>
    <t>T3RE</t>
  </si>
  <si>
    <t>Lot D (Item 5): Type D, Type D, 72 Pupil Rear Engine (Pusher) Bus, Minimum 72 Pupils</t>
  </si>
  <si>
    <t>Contractor Name</t>
  </si>
  <si>
    <t>Base Item NYS Contract Price</t>
  </si>
  <si>
    <t>Add. Body Section NYS Contract Price</t>
  </si>
  <si>
    <t>Add. Options NYS Discount</t>
  </si>
  <si>
    <t>N/A</t>
  </si>
  <si>
    <t>There is no Lot B (i.e., Type B School Buses) included in this Award</t>
  </si>
  <si>
    <t>Gasoline</t>
  </si>
  <si>
    <t>Hybrid</t>
  </si>
  <si>
    <t>School Bus Awarded</t>
  </si>
  <si>
    <t>Diesel</t>
  </si>
  <si>
    <t>LPG</t>
  </si>
  <si>
    <t>CNG</t>
  </si>
  <si>
    <t>Electric</t>
  </si>
  <si>
    <t>Not Available</t>
  </si>
  <si>
    <t>ST Aero</t>
  </si>
  <si>
    <t>IC Bus</t>
  </si>
  <si>
    <t>Counties Awarded</t>
  </si>
  <si>
    <t>Contract #</t>
  </si>
  <si>
    <t>PPI Series ID</t>
  </si>
  <si>
    <t>WPU1413</t>
  </si>
  <si>
    <t>Adj. Factor</t>
  </si>
  <si>
    <t>Round to 1000th</t>
  </si>
  <si>
    <t>40524-23254 School Buses: Award Summary</t>
  </si>
  <si>
    <t>PC69857</t>
  </si>
  <si>
    <t>PC69858</t>
  </si>
  <si>
    <t>PC69859</t>
  </si>
  <si>
    <t>PC69860</t>
  </si>
  <si>
    <t>PC69861</t>
  </si>
  <si>
    <t>PC69862</t>
  </si>
  <si>
    <t>PC69863</t>
  </si>
  <si>
    <t>PC69864</t>
  </si>
  <si>
    <t>PC69865</t>
  </si>
  <si>
    <t>AT New York City, LLC</t>
  </si>
  <si>
    <t>Albany, Bronx, Broome, Chenango, Clinton, Columbia, Cortland, Duchess, Delaware, Essex, Franklin, Fulton, Greene, Hamilton, Herkimer, Jefferson, Kings, Lewis, Madison, Montgomery, Nassau, New York, Oneida, Onondaga, Orange, Oswego, Otsego, Putnum, Queens, Rensselaer, Richmond, Rockland, St. Lawrence, Saratoga, Schenectady, Schoharie, Suffolk, Sullivan, Ulster, Warren, Washington and Westchester Counties.</t>
  </si>
  <si>
    <t>Factory Direct Bus Sales, Inc.</t>
  </si>
  <si>
    <t>H.K. Truck Services, Inc.</t>
  </si>
  <si>
    <t>All NYS Counties.</t>
  </si>
  <si>
    <t>JP Bus &amp; Truck Repair LTD DBA Bird Bus Sales</t>
  </si>
  <si>
    <t xml:space="preserve">Bronx, Kings, Nassau, New York, Queens, Richmond, Rockland, Suffolk, and Westchester Counties. </t>
  </si>
  <si>
    <t>Leonard Bus Sales, Inc.</t>
  </si>
  <si>
    <t>Matthews Buses, Inc.</t>
  </si>
  <si>
    <r>
      <t xml:space="preserve">All counties, </t>
    </r>
    <r>
      <rPr>
        <b/>
        <u/>
        <sz val="10"/>
        <color theme="1"/>
        <rFont val="Arial"/>
        <family val="2"/>
      </rPr>
      <t>EXCEPT</t>
    </r>
    <r>
      <rPr>
        <b/>
        <sz val="10"/>
        <color theme="1"/>
        <rFont val="Arial"/>
        <family val="2"/>
      </rPr>
      <t xml:space="preserve"> Bronx, Kings, Nassau, New York, Queens, Richmond, and Suffolk Counties.</t>
    </r>
  </si>
  <si>
    <t>Bronx, Kings, Nassau, New York, Queens, Richmond, and Suffolk Counties.</t>
  </si>
  <si>
    <t>Nesco Bus and Truck Sales, Inc.</t>
  </si>
  <si>
    <r>
      <t xml:space="preserve">All counties, </t>
    </r>
    <r>
      <rPr>
        <b/>
        <u/>
        <sz val="10"/>
        <color theme="1"/>
        <rFont val="Arial"/>
        <family val="2"/>
      </rPr>
      <t>EXCEPT</t>
    </r>
    <r>
      <rPr>
        <b/>
        <sz val="10"/>
        <color theme="1"/>
        <rFont val="Arial"/>
        <family val="2"/>
      </rPr>
      <t xml:space="preserve"> Bronx, Kings, Nassau, New York, Queens, Richmond, Suffolk, Westchester, and Rockland Counties.</t>
    </r>
  </si>
  <si>
    <t>New York Bus Sales, LLC</t>
  </si>
  <si>
    <t>Type A Items: Allegany, Broome, Cattaraugus, Cayuga, Chemung, Erie, Genesee, Livingston, Monroe, Niagara, Ontario, Orleans, Schuyler, Seneca, Steuben, Tioga, Tompkins, Wayne, Wyoming, and Yates Counties.</t>
  </si>
  <si>
    <t>WNY Bus Parts, Inc. DBA Gorman Enterprises</t>
  </si>
  <si>
    <t>Type C and D Items: All NYS Counties.</t>
  </si>
  <si>
    <t xml:space="preserve">Type A and D Items: All NYS Counties
</t>
  </si>
  <si>
    <r>
      <t xml:space="preserve">Type C Items: All counties, </t>
    </r>
    <r>
      <rPr>
        <b/>
        <u/>
        <sz val="10"/>
        <color theme="1"/>
        <rFont val="Arial"/>
        <family val="2"/>
      </rPr>
      <t>EXCEPT</t>
    </r>
    <r>
      <rPr>
        <b/>
        <sz val="10"/>
        <color theme="1"/>
        <rFont val="Arial"/>
        <family val="2"/>
      </rPr>
      <t xml:space="preserve"> Bronx, Kings, Nassau, New York, Queens, Richmond, Suffolk, Westchester, and Rockland Counties.</t>
    </r>
  </si>
  <si>
    <t xml:space="preserve">Leonard Bus Sales, Inc. </t>
  </si>
  <si>
    <t>General Motors</t>
  </si>
  <si>
    <t>Ford Transit</t>
  </si>
  <si>
    <t xml:space="preserve">Trans Tech </t>
  </si>
  <si>
    <t>MBII</t>
  </si>
  <si>
    <t>Trans Star</t>
  </si>
  <si>
    <t>E-450</t>
  </si>
  <si>
    <t>GreenPower Motor</t>
  </si>
  <si>
    <t>Nano BEAST</t>
  </si>
  <si>
    <t>New York Bus Sales, LLC / JP Bus &amp; Truck Repair LTD</t>
  </si>
  <si>
    <t>350 HD</t>
  </si>
  <si>
    <t>DE516F</t>
  </si>
  <si>
    <t>Chevy/GMC</t>
  </si>
  <si>
    <t>W.N.Y. Bus Parts, Inc. / Factory Direct Bus Sales, Inc.</t>
  </si>
  <si>
    <t xml:space="preserve">W.N.Y. Bus Parts, Inc. / Factory Direct Bus Sales, Inc. </t>
  </si>
  <si>
    <t>Leonard Bus Sales, Inc. / AT New York City, LLC</t>
  </si>
  <si>
    <t xml:space="preserve">W.N.Y. Bus Parts, Inc. </t>
  </si>
  <si>
    <t>IC BUS</t>
  </si>
  <si>
    <t>BYD</t>
  </si>
  <si>
    <t>BYD6821SC4EVF1</t>
  </si>
  <si>
    <t>S82N01-Body</t>
  </si>
  <si>
    <t>Matthews Buses, Inc. / Nesco Bus and Truck Sales, Inc.</t>
  </si>
  <si>
    <t>Lion</t>
  </si>
  <si>
    <t>LionC</t>
  </si>
  <si>
    <t>LionA</t>
  </si>
  <si>
    <t>Lot D (Item 1): Type D, 53 Pupil Forward Control Transit Style Bus, Minimum 24 Pupils</t>
  </si>
  <si>
    <t>BYD6111SC4EVF1</t>
  </si>
  <si>
    <t>S11N01-Body</t>
  </si>
  <si>
    <t>W.N.Y. Bus Parts, Inc.</t>
  </si>
  <si>
    <t>LionD</t>
  </si>
  <si>
    <t>BEAST</t>
  </si>
  <si>
    <t>BYD6121SC4EVF1</t>
  </si>
  <si>
    <t>S12N01-Body</t>
  </si>
  <si>
    <t>BYD6121SC4EVF2</t>
  </si>
  <si>
    <t>S12N02-Body</t>
  </si>
  <si>
    <t>08/2022 PPI</t>
  </si>
  <si>
    <t>Bronx, Kings, Nassau, New York, Queens, Richmond, Suffolk, and Westchester Counties.</t>
  </si>
  <si>
    <t>10/2023 PPI</t>
  </si>
  <si>
    <t>Revised April 15,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</si>
</sst>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0.0"/>
    <numFmt numFmtId="167" formatCode="0.0000"/>
  </numFmts>
  <fonts count="18" x14ac:knownFonts="1"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 applyProtection="1"/>
    <xf numFmtId="0" fontId="3" fillId="0" borderId="0" xfId="0" applyNumberFormat="1" applyFont="1" applyAlignment="1" applyProtection="1"/>
    <xf numFmtId="0" fontId="4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0" borderId="0" xfId="0" applyNumberFormat="1" applyFont="1" applyAlignment="1" applyProtection="1">
      <alignment vertical="top"/>
    </xf>
    <xf numFmtId="0" fontId="8" fillId="0" borderId="5" xfId="0" applyFont="1" applyBorder="1" applyAlignment="1">
      <alignment horizontal="left" vertical="center"/>
    </xf>
    <xf numFmtId="0" fontId="9" fillId="0" borderId="0" xfId="0" applyFont="1" applyAlignment="1" applyProtection="1"/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3" fillId="0" borderId="0" xfId="0" applyNumberFormat="1" applyFont="1" applyAlignment="1" applyProtection="1"/>
    <xf numFmtId="164" fontId="7" fillId="2" borderId="5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vertical="top"/>
    </xf>
    <xf numFmtId="164" fontId="3" fillId="0" borderId="0" xfId="0" applyNumberFormat="1" applyFont="1" applyAlignment="1" applyProtection="1">
      <alignment horizontal="right"/>
    </xf>
    <xf numFmtId="164" fontId="4" fillId="0" borderId="0" xfId="0" applyNumberFormat="1" applyFont="1" applyAlignment="1" applyProtection="1">
      <alignment horizontal="right" vertical="top"/>
    </xf>
    <xf numFmtId="0" fontId="4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horizontal="right"/>
    </xf>
    <xf numFmtId="164" fontId="5" fillId="0" borderId="0" xfId="0" applyNumberFormat="1" applyFont="1" applyAlignment="1" applyProtection="1">
      <alignment horizontal="right" vertical="top"/>
    </xf>
    <xf numFmtId="164" fontId="3" fillId="0" borderId="5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164" fontId="3" fillId="0" borderId="5" xfId="0" applyNumberFormat="1" applyFont="1" applyFill="1" applyBorder="1" applyAlignment="1" applyProtection="1">
      <alignment horizontal="right" vertical="center"/>
    </xf>
    <xf numFmtId="9" fontId="1" fillId="0" borderId="1" xfId="0" applyNumberFormat="1" applyFont="1" applyBorder="1" applyAlignment="1">
      <alignment horizontal="center" vertical="center"/>
    </xf>
    <xf numFmtId="9" fontId="3" fillId="0" borderId="0" xfId="0" applyNumberFormat="1" applyFont="1" applyAlignment="1" applyProtection="1">
      <alignment horizontal="center"/>
    </xf>
    <xf numFmtId="9" fontId="4" fillId="0" borderId="0" xfId="0" applyNumberFormat="1" applyFont="1" applyAlignment="1" applyProtection="1">
      <alignment horizontal="center" vertical="top"/>
    </xf>
    <xf numFmtId="9" fontId="3" fillId="0" borderId="5" xfId="0" applyNumberFormat="1" applyFont="1" applyFill="1" applyBorder="1" applyAlignment="1" applyProtection="1">
      <alignment horizontal="center" vertical="center"/>
    </xf>
    <xf numFmtId="9" fontId="5" fillId="0" borderId="0" xfId="0" applyNumberFormat="1" applyFont="1" applyAlignment="1" applyProtection="1">
      <alignment horizontal="center" vertical="top"/>
    </xf>
    <xf numFmtId="0" fontId="6" fillId="2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9" fontId="1" fillId="0" borderId="0" xfId="0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/>
    </xf>
    <xf numFmtId="164" fontId="3" fillId="3" borderId="0" xfId="0" applyNumberFormat="1" applyFont="1" applyFill="1" applyAlignment="1" applyProtection="1">
      <alignment horizontal="right"/>
    </xf>
    <xf numFmtId="164" fontId="5" fillId="3" borderId="0" xfId="0" applyNumberFormat="1" applyFont="1" applyFill="1" applyAlignment="1" applyProtection="1">
      <alignment horizontal="right" vertical="top"/>
    </xf>
    <xf numFmtId="0" fontId="8" fillId="3" borderId="0" xfId="0" applyFont="1" applyFill="1" applyBorder="1" applyAlignment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/>
    <xf numFmtId="0" fontId="3" fillId="3" borderId="0" xfId="0" applyNumberFormat="1" applyFont="1" applyFill="1" applyAlignment="1" applyProtection="1"/>
    <xf numFmtId="0" fontId="5" fillId="3" borderId="0" xfId="0" applyFont="1" applyFill="1" applyAlignment="1" applyProtection="1">
      <alignment vertical="top"/>
    </xf>
    <xf numFmtId="0" fontId="5" fillId="3" borderId="0" xfId="0" applyNumberFormat="1" applyFont="1" applyFill="1" applyAlignment="1" applyProtection="1">
      <alignment vertical="top"/>
    </xf>
    <xf numFmtId="164" fontId="5" fillId="3" borderId="0" xfId="0" applyNumberFormat="1" applyFont="1" applyFill="1" applyAlignment="1" applyProtection="1">
      <alignment vertical="top"/>
    </xf>
    <xf numFmtId="0" fontId="4" fillId="3" borderId="0" xfId="0" applyFont="1" applyFill="1" applyAlignment="1" applyProtection="1">
      <alignment horizontal="right" vertical="top"/>
    </xf>
    <xf numFmtId="9" fontId="5" fillId="3" borderId="0" xfId="0" applyNumberFormat="1" applyFont="1" applyFill="1" applyAlignment="1" applyProtection="1">
      <alignment horizontal="center" vertical="top"/>
    </xf>
    <xf numFmtId="0" fontId="4" fillId="3" borderId="0" xfId="0" applyFont="1" applyFill="1" applyAlignment="1" applyProtection="1">
      <alignment vertical="top"/>
    </xf>
    <xf numFmtId="164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>
      <alignment horizontal="right" vertical="center"/>
    </xf>
    <xf numFmtId="9" fontId="3" fillId="3" borderId="0" xfId="0" applyNumberFormat="1" applyFont="1" applyFill="1" applyBorder="1" applyAlignment="1" applyProtection="1">
      <alignment horizontal="center" vertical="center"/>
    </xf>
    <xf numFmtId="164" fontId="7" fillId="3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8" fillId="0" borderId="5" xfId="0" applyFont="1" applyFill="1" applyBorder="1" applyAlignment="1">
      <alignment horizontal="left" vertical="center"/>
    </xf>
    <xf numFmtId="164" fontId="10" fillId="0" borderId="5" xfId="0" applyNumberFormat="1" applyFont="1" applyFill="1" applyBorder="1" applyAlignment="1" applyProtection="1">
      <alignment horizontal="right" vertical="center"/>
    </xf>
    <xf numFmtId="0" fontId="14" fillId="0" borderId="0" xfId="1" applyFont="1" applyBorder="1" applyAlignment="1">
      <alignment horizontal="center" vertical="top"/>
    </xf>
    <xf numFmtId="165" fontId="15" fillId="0" borderId="0" xfId="0" applyNumberFormat="1" applyFont="1" applyAlignment="1">
      <alignment horizontal="center" vertical="top"/>
    </xf>
    <xf numFmtId="0" fontId="13" fillId="0" borderId="0" xfId="2" applyBorder="1" applyAlignment="1">
      <alignment horizontal="center" vertical="top"/>
    </xf>
    <xf numFmtId="2" fontId="14" fillId="0" borderId="0" xfId="1" applyNumberFormat="1" applyFont="1" applyBorder="1" applyAlignment="1">
      <alignment horizontal="center" vertical="top" wrapText="1"/>
    </xf>
    <xf numFmtId="166" fontId="15" fillId="3" borderId="0" xfId="0" applyNumberFormat="1" applyFont="1" applyFill="1" applyAlignment="1">
      <alignment horizontal="center" vertical="top"/>
    </xf>
    <xf numFmtId="0" fontId="14" fillId="0" borderId="0" xfId="1" applyFont="1" applyBorder="1" applyAlignment="1">
      <alignment horizontal="center" vertical="top" wrapText="1"/>
    </xf>
    <xf numFmtId="166" fontId="16" fillId="3" borderId="0" xfId="0" applyNumberFormat="1" applyFont="1" applyFill="1" applyAlignment="1">
      <alignment horizontal="center" vertical="top"/>
    </xf>
    <xf numFmtId="167" fontId="15" fillId="3" borderId="0" xfId="0" applyNumberFormat="1" applyFont="1" applyFill="1" applyAlignment="1">
      <alignment horizontal="center" vertical="top"/>
    </xf>
    <xf numFmtId="165" fontId="14" fillId="0" borderId="0" xfId="1" applyNumberFormat="1" applyFont="1" applyBorder="1" applyAlignment="1">
      <alignment horizontal="center" vertical="top" wrapText="1"/>
    </xf>
    <xf numFmtId="165" fontId="15" fillId="3" borderId="0" xfId="0" applyNumberFormat="1" applyFont="1" applyFill="1" applyAlignment="1">
      <alignment horizontal="center" vertical="top"/>
    </xf>
    <xf numFmtId="0" fontId="8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164" fontId="3" fillId="4" borderId="5" xfId="0" applyNumberFormat="1" applyFont="1" applyFill="1" applyBorder="1" applyAlignment="1" applyProtection="1">
      <alignment horizontal="left" vertical="center"/>
    </xf>
    <xf numFmtId="0" fontId="3" fillId="4" borderId="5" xfId="0" applyNumberFormat="1" applyFont="1" applyFill="1" applyBorder="1" applyAlignment="1" applyProtection="1">
      <alignment horizontal="left" vertical="center"/>
    </xf>
    <xf numFmtId="164" fontId="3" fillId="4" borderId="5" xfId="0" applyNumberFormat="1" applyFont="1" applyFill="1" applyBorder="1" applyAlignment="1" applyProtection="1">
      <alignment horizontal="right" vertical="center"/>
    </xf>
    <xf numFmtId="9" fontId="3" fillId="4" borderId="5" xfId="0" applyNumberFormat="1" applyFont="1" applyFill="1" applyBorder="1" applyAlignment="1" applyProtection="1">
      <alignment horizontal="center" vertical="center"/>
    </xf>
    <xf numFmtId="0" fontId="8" fillId="4" borderId="29" xfId="0" applyFont="1" applyFill="1" applyBorder="1" applyAlignment="1">
      <alignment horizontal="left" vertical="center"/>
    </xf>
    <xf numFmtId="164" fontId="3" fillId="4" borderId="30" xfId="0" applyNumberFormat="1" applyFont="1" applyFill="1" applyBorder="1" applyAlignment="1" applyProtection="1">
      <alignment horizontal="left" vertical="center"/>
    </xf>
    <xf numFmtId="0" fontId="3" fillId="4" borderId="30" xfId="0" applyNumberFormat="1" applyFont="1" applyFill="1" applyBorder="1" applyAlignment="1" applyProtection="1">
      <alignment horizontal="left" vertical="center"/>
    </xf>
    <xf numFmtId="0" fontId="8" fillId="4" borderId="31" xfId="0" applyFont="1" applyFill="1" applyBorder="1" applyAlignment="1">
      <alignment horizontal="left" vertical="center"/>
    </xf>
    <xf numFmtId="164" fontId="3" fillId="4" borderId="32" xfId="0" applyNumberFormat="1" applyFont="1" applyFill="1" applyBorder="1" applyAlignment="1" applyProtection="1">
      <alignment horizontal="left" vertical="center"/>
    </xf>
    <xf numFmtId="0" fontId="3" fillId="4" borderId="32" xfId="0" applyNumberFormat="1" applyFont="1" applyFill="1" applyBorder="1" applyAlignment="1" applyProtection="1">
      <alignment horizontal="left" vertical="center"/>
    </xf>
    <xf numFmtId="164" fontId="3" fillId="4" borderId="32" xfId="0" applyNumberFormat="1" applyFont="1" applyFill="1" applyBorder="1" applyAlignment="1" applyProtection="1">
      <alignment horizontal="right" vertical="center"/>
    </xf>
    <xf numFmtId="9" fontId="3" fillId="4" borderId="33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8" fillId="0" borderId="34" xfId="0" applyFont="1" applyFill="1" applyBorder="1" applyAlignment="1">
      <alignment horizontal="left" vertical="center"/>
    </xf>
    <xf numFmtId="164" fontId="3" fillId="0" borderId="35" xfId="0" applyNumberFormat="1" applyFont="1" applyFill="1" applyBorder="1" applyAlignment="1" applyProtection="1">
      <alignment horizontal="left" vertical="center"/>
    </xf>
    <xf numFmtId="0" fontId="3" fillId="0" borderId="35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9" fontId="3" fillId="0" borderId="0" xfId="0" applyNumberFormat="1" applyFont="1" applyFill="1" applyBorder="1" applyAlignment="1" applyProtection="1">
      <alignment horizontal="center" vertical="center"/>
    </xf>
    <xf numFmtId="0" fontId="3" fillId="0" borderId="36" xfId="0" applyNumberFormat="1" applyFont="1" applyFill="1" applyBorder="1" applyAlignment="1" applyProtection="1">
      <alignment horizontal="left" vertical="center"/>
    </xf>
    <xf numFmtId="164" fontId="3" fillId="4" borderId="37" xfId="0" applyNumberFormat="1" applyFont="1" applyFill="1" applyBorder="1" applyAlignment="1" applyProtection="1">
      <alignment horizontal="right" vertical="center"/>
    </xf>
    <xf numFmtId="9" fontId="3" fillId="4" borderId="38" xfId="0" applyNumberFormat="1" applyFont="1" applyFill="1" applyBorder="1" applyAlignment="1" applyProtection="1">
      <alignment horizontal="center" vertical="center"/>
    </xf>
    <xf numFmtId="0" fontId="8" fillId="0" borderId="9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24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9" fontId="7" fillId="2" borderId="6" xfId="0" applyNumberFormat="1" applyFont="1" applyFill="1" applyBorder="1" applyAlignment="1" applyProtection="1">
      <alignment horizontal="center" vertical="center" wrapText="1"/>
    </xf>
    <xf numFmtId="9" fontId="7" fillId="2" borderId="7" xfId="0" applyNumberFormat="1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 applyProtection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164" fontId="7" fillId="2" borderId="7" xfId="0" applyNumberFormat="1" applyFont="1" applyFill="1" applyBorder="1" applyAlignment="1" applyProtection="1">
      <alignment horizontal="center" vertical="center" wrapText="1"/>
    </xf>
  </cellXfs>
  <cellStyles count="3">
    <cellStyle name="Heading 3" xfId="1" builtinId="18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ata.bls.gov/timeseries/WPU1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N138"/>
  <sheetViews>
    <sheetView showGridLines="0" tabSelected="1" zoomScale="90" zoomScaleNormal="90" zoomScaleSheetLayoutView="100" workbookViewId="0"/>
  </sheetViews>
  <sheetFormatPr defaultColWidth="9.140625" defaultRowHeight="12.75" x14ac:dyDescent="0.2"/>
  <cols>
    <col min="1" max="1" width="45.7109375" style="4" customWidth="1"/>
    <col min="2" max="2" width="16.5703125" style="4" bestFit="1" customWidth="1"/>
    <col min="3" max="3" width="16.28515625" style="5" customWidth="1"/>
    <col min="4" max="4" width="16.5703125" style="4" bestFit="1" customWidth="1"/>
    <col min="5" max="5" width="14.28515625" style="5" customWidth="1"/>
    <col min="6" max="6" width="13.85546875" style="18" customWidth="1"/>
    <col min="7" max="11" width="12.7109375" style="18" customWidth="1"/>
    <col min="12" max="12" width="19.42578125" style="18" customWidth="1"/>
    <col min="13" max="13" width="14.28515625" style="27" customWidth="1"/>
    <col min="14" max="14" width="0" style="4" hidden="1" customWidth="1"/>
    <col min="15" max="16384" width="9.140625" style="4"/>
  </cols>
  <sheetData>
    <row r="1" spans="1:14" s="3" customFormat="1" ht="45.75" customHeight="1" x14ac:dyDescent="0.25">
      <c r="A1" s="1" t="s">
        <v>63</v>
      </c>
      <c r="B1" s="2"/>
      <c r="C1" s="2"/>
      <c r="D1" s="2"/>
      <c r="E1" s="2"/>
      <c r="F1" s="14"/>
      <c r="G1" s="14"/>
      <c r="H1" s="14"/>
      <c r="I1" s="14"/>
      <c r="J1" s="14"/>
      <c r="K1" s="14"/>
      <c r="L1" s="14"/>
      <c r="M1" s="26"/>
    </row>
    <row r="2" spans="1:14" s="3" customFormat="1" ht="15" customHeight="1" x14ac:dyDescent="0.25">
      <c r="A2" s="32"/>
      <c r="B2" s="33"/>
      <c r="C2" s="33"/>
      <c r="D2" s="33"/>
      <c r="E2" s="33"/>
      <c r="F2" s="34"/>
      <c r="G2" s="34"/>
      <c r="H2" s="34"/>
      <c r="I2" s="34"/>
      <c r="J2" s="34"/>
      <c r="L2" s="55" t="s">
        <v>130</v>
      </c>
      <c r="M2" s="35"/>
    </row>
    <row r="3" spans="1:14" s="6" customFormat="1" ht="25.5" customHeight="1" x14ac:dyDescent="0.25">
      <c r="A3" s="7" t="s">
        <v>57</v>
      </c>
      <c r="B3" s="7"/>
      <c r="C3" s="8"/>
      <c r="D3" s="7"/>
      <c r="F3" s="19"/>
      <c r="G3" s="19"/>
      <c r="H3" s="19"/>
      <c r="I3" s="19"/>
      <c r="J3" s="19"/>
      <c r="K3" s="19"/>
      <c r="L3" s="19"/>
      <c r="M3" s="28"/>
    </row>
    <row r="4" spans="1:14" s="6" customFormat="1" ht="25.5" customHeight="1" thickBot="1" x14ac:dyDescent="0.3">
      <c r="A4" s="31" t="s">
        <v>41</v>
      </c>
      <c r="B4" s="31" t="s">
        <v>58</v>
      </c>
      <c r="C4" s="115" t="s">
        <v>57</v>
      </c>
      <c r="D4" s="115"/>
      <c r="E4" s="115"/>
      <c r="F4" s="115"/>
      <c r="G4" s="115"/>
      <c r="H4" s="115"/>
      <c r="I4" s="115"/>
      <c r="J4" s="115"/>
      <c r="K4" s="115"/>
      <c r="L4" s="115"/>
      <c r="M4" s="19"/>
      <c r="N4" s="28"/>
    </row>
    <row r="5" spans="1:14" s="6" customFormat="1" ht="43.5" customHeight="1" thickBot="1" x14ac:dyDescent="0.3">
      <c r="A5" s="70" t="s">
        <v>73</v>
      </c>
      <c r="B5" s="71" t="s">
        <v>64</v>
      </c>
      <c r="C5" s="106" t="s">
        <v>128</v>
      </c>
      <c r="D5" s="106"/>
      <c r="E5" s="106"/>
      <c r="F5" s="106"/>
      <c r="G5" s="106"/>
      <c r="H5" s="106"/>
      <c r="I5" s="106"/>
      <c r="J5" s="106"/>
      <c r="K5" s="106"/>
      <c r="L5" s="107"/>
      <c r="M5" s="19"/>
      <c r="N5" s="28"/>
    </row>
    <row r="6" spans="1:14" s="6" customFormat="1" ht="39.75" customHeight="1" thickBot="1" x14ac:dyDescent="0.3">
      <c r="A6" s="70" t="s">
        <v>75</v>
      </c>
      <c r="B6" s="71" t="s">
        <v>65</v>
      </c>
      <c r="C6" s="106" t="s">
        <v>74</v>
      </c>
      <c r="D6" s="106"/>
      <c r="E6" s="106"/>
      <c r="F6" s="106"/>
      <c r="G6" s="106"/>
      <c r="H6" s="106"/>
      <c r="I6" s="106"/>
      <c r="J6" s="106"/>
      <c r="K6" s="106"/>
      <c r="L6" s="107"/>
      <c r="M6" s="19"/>
      <c r="N6" s="28"/>
    </row>
    <row r="7" spans="1:14" s="6" customFormat="1" ht="32.1" customHeight="1" thickBot="1" x14ac:dyDescent="0.3">
      <c r="A7" s="70" t="s">
        <v>76</v>
      </c>
      <c r="B7" s="71" t="s">
        <v>66</v>
      </c>
      <c r="C7" s="106" t="s">
        <v>77</v>
      </c>
      <c r="D7" s="106"/>
      <c r="E7" s="106"/>
      <c r="F7" s="106"/>
      <c r="G7" s="106"/>
      <c r="H7" s="106"/>
      <c r="I7" s="106"/>
      <c r="J7" s="106"/>
      <c r="K7" s="106"/>
      <c r="L7" s="107"/>
      <c r="M7" s="19"/>
      <c r="N7" s="28"/>
    </row>
    <row r="8" spans="1:14" s="6" customFormat="1" ht="18" customHeight="1" thickBot="1" x14ac:dyDescent="0.3">
      <c r="A8" s="70" t="s">
        <v>78</v>
      </c>
      <c r="B8" s="71" t="s">
        <v>67</v>
      </c>
      <c r="C8" s="106" t="s">
        <v>79</v>
      </c>
      <c r="D8" s="106"/>
      <c r="E8" s="106"/>
      <c r="F8" s="106"/>
      <c r="G8" s="106"/>
      <c r="H8" s="106"/>
      <c r="I8" s="106"/>
      <c r="J8" s="106"/>
      <c r="K8" s="106"/>
      <c r="L8" s="107"/>
      <c r="M8" s="19"/>
      <c r="N8" s="28"/>
    </row>
    <row r="9" spans="1:14" s="6" customFormat="1" ht="15.75" customHeight="1" x14ac:dyDescent="0.25">
      <c r="A9" s="94" t="s">
        <v>80</v>
      </c>
      <c r="B9" s="96" t="s">
        <v>68</v>
      </c>
      <c r="C9" s="104" t="s">
        <v>90</v>
      </c>
      <c r="D9" s="104"/>
      <c r="E9" s="104"/>
      <c r="F9" s="104"/>
      <c r="G9" s="104"/>
      <c r="H9" s="104"/>
      <c r="I9" s="104"/>
      <c r="J9" s="104"/>
      <c r="K9" s="104"/>
      <c r="L9" s="105"/>
      <c r="M9" s="19"/>
      <c r="N9" s="28"/>
    </row>
    <row r="10" spans="1:14" s="6" customFormat="1" ht="15.75" customHeight="1" thickBot="1" x14ac:dyDescent="0.3">
      <c r="A10" s="95"/>
      <c r="B10" s="97"/>
      <c r="C10" s="101" t="s">
        <v>91</v>
      </c>
      <c r="D10" s="102"/>
      <c r="E10" s="102"/>
      <c r="F10" s="102"/>
      <c r="G10" s="102"/>
      <c r="H10" s="102"/>
      <c r="I10" s="102"/>
      <c r="J10" s="102"/>
      <c r="K10" s="102"/>
      <c r="L10" s="103"/>
      <c r="M10" s="19"/>
      <c r="N10" s="28"/>
    </row>
    <row r="11" spans="1:14" s="6" customFormat="1" ht="18" customHeight="1" thickBot="1" x14ac:dyDescent="0.3">
      <c r="A11" s="70" t="s">
        <v>81</v>
      </c>
      <c r="B11" s="71" t="s">
        <v>69</v>
      </c>
      <c r="C11" s="106" t="s">
        <v>82</v>
      </c>
      <c r="D11" s="106"/>
      <c r="E11" s="106"/>
      <c r="F11" s="106"/>
      <c r="G11" s="106"/>
      <c r="H11" s="106"/>
      <c r="I11" s="106"/>
      <c r="J11" s="106"/>
      <c r="K11" s="106"/>
      <c r="L11" s="107"/>
      <c r="M11" s="19"/>
      <c r="N11" s="28"/>
    </row>
    <row r="12" spans="1:14" s="6" customFormat="1" ht="18" customHeight="1" thickBot="1" x14ac:dyDescent="0.3">
      <c r="A12" s="70" t="s">
        <v>84</v>
      </c>
      <c r="B12" s="71" t="s">
        <v>70</v>
      </c>
      <c r="C12" s="106" t="s">
        <v>83</v>
      </c>
      <c r="D12" s="106"/>
      <c r="E12" s="106"/>
      <c r="F12" s="106"/>
      <c r="G12" s="106"/>
      <c r="H12" s="106"/>
      <c r="I12" s="106"/>
      <c r="J12" s="106"/>
      <c r="K12" s="106"/>
      <c r="L12" s="107"/>
      <c r="M12" s="19"/>
      <c r="N12" s="28"/>
    </row>
    <row r="13" spans="1:14" s="6" customFormat="1" ht="18" customHeight="1" thickBot="1" x14ac:dyDescent="0.3">
      <c r="A13" s="70" t="s">
        <v>86</v>
      </c>
      <c r="B13" s="71" t="s">
        <v>71</v>
      </c>
      <c r="C13" s="110" t="s">
        <v>85</v>
      </c>
      <c r="D13" s="111"/>
      <c r="E13" s="111"/>
      <c r="F13" s="111"/>
      <c r="G13" s="111"/>
      <c r="H13" s="111"/>
      <c r="I13" s="111"/>
      <c r="J13" s="111"/>
      <c r="K13" s="111"/>
      <c r="L13" s="112"/>
      <c r="M13" s="19"/>
      <c r="N13" s="28"/>
    </row>
    <row r="14" spans="1:14" s="6" customFormat="1" ht="27" customHeight="1" x14ac:dyDescent="0.25">
      <c r="A14" s="94" t="s">
        <v>88</v>
      </c>
      <c r="B14" s="96" t="s">
        <v>72</v>
      </c>
      <c r="C14" s="98" t="s">
        <v>87</v>
      </c>
      <c r="D14" s="99"/>
      <c r="E14" s="99"/>
      <c r="F14" s="99"/>
      <c r="G14" s="99"/>
      <c r="H14" s="99"/>
      <c r="I14" s="99"/>
      <c r="J14" s="99"/>
      <c r="K14" s="99"/>
      <c r="L14" s="100"/>
      <c r="M14" s="19"/>
      <c r="N14" s="28"/>
    </row>
    <row r="15" spans="1:14" s="6" customFormat="1" ht="15" customHeight="1" thickBot="1" x14ac:dyDescent="0.3">
      <c r="A15" s="95"/>
      <c r="B15" s="97"/>
      <c r="C15" s="108" t="s">
        <v>89</v>
      </c>
      <c r="D15" s="108"/>
      <c r="E15" s="108"/>
      <c r="F15" s="108"/>
      <c r="G15" s="108"/>
      <c r="H15" s="108"/>
      <c r="I15" s="108"/>
      <c r="J15" s="108"/>
      <c r="K15" s="108"/>
      <c r="L15" s="109"/>
      <c r="M15" s="19"/>
      <c r="N15" s="28"/>
    </row>
    <row r="17" spans="1:13" s="6" customFormat="1" ht="25.5" customHeight="1" x14ac:dyDescent="0.25">
      <c r="A17" s="7" t="s">
        <v>0</v>
      </c>
      <c r="B17" s="7"/>
      <c r="C17" s="8"/>
      <c r="D17" s="7"/>
      <c r="F17" s="19"/>
      <c r="G17" s="19"/>
      <c r="H17" s="19"/>
      <c r="I17" s="19"/>
      <c r="J17" s="19"/>
      <c r="K17" s="19"/>
      <c r="L17" s="19"/>
      <c r="M17" s="28"/>
    </row>
    <row r="18" spans="1:13" s="13" customFormat="1" ht="15" customHeight="1" x14ac:dyDescent="0.25">
      <c r="A18" s="115" t="s">
        <v>41</v>
      </c>
      <c r="B18" s="117" t="s">
        <v>49</v>
      </c>
      <c r="C18" s="118"/>
      <c r="D18" s="118"/>
      <c r="E18" s="119"/>
      <c r="F18" s="120" t="s">
        <v>42</v>
      </c>
      <c r="G18" s="121"/>
      <c r="H18" s="121"/>
      <c r="I18" s="121"/>
      <c r="J18" s="121"/>
      <c r="K18" s="122"/>
      <c r="L18" s="123" t="s">
        <v>43</v>
      </c>
      <c r="M18" s="113" t="s">
        <v>44</v>
      </c>
    </row>
    <row r="19" spans="1:13" s="13" customFormat="1" ht="37.5" customHeight="1" x14ac:dyDescent="0.25">
      <c r="A19" s="116"/>
      <c r="B19" s="11" t="s">
        <v>1</v>
      </c>
      <c r="C19" s="12" t="s">
        <v>2</v>
      </c>
      <c r="D19" s="11" t="s">
        <v>3</v>
      </c>
      <c r="E19" s="12" t="s">
        <v>4</v>
      </c>
      <c r="F19" s="16" t="s">
        <v>47</v>
      </c>
      <c r="G19" s="16" t="s">
        <v>50</v>
      </c>
      <c r="H19" s="16" t="s">
        <v>51</v>
      </c>
      <c r="I19" s="16" t="s">
        <v>52</v>
      </c>
      <c r="J19" s="16" t="s">
        <v>48</v>
      </c>
      <c r="K19" s="16" t="s">
        <v>53</v>
      </c>
      <c r="L19" s="124"/>
      <c r="M19" s="114"/>
    </row>
    <row r="20" spans="1:13" ht="15" customHeight="1" x14ac:dyDescent="0.2">
      <c r="A20" s="9" t="s">
        <v>45</v>
      </c>
      <c r="B20" s="23"/>
      <c r="C20" s="24"/>
      <c r="D20" s="23"/>
      <c r="E20" s="24"/>
      <c r="F20" s="25"/>
      <c r="G20" s="25"/>
      <c r="H20" s="25"/>
      <c r="I20" s="25"/>
      <c r="J20" s="25"/>
      <c r="K20" s="25"/>
      <c r="L20" s="25"/>
      <c r="M20" s="29"/>
    </row>
    <row r="22" spans="1:13" s="6" customFormat="1" ht="25.5" customHeight="1" x14ac:dyDescent="0.25">
      <c r="A22" s="7" t="s">
        <v>5</v>
      </c>
      <c r="B22" s="7"/>
      <c r="C22" s="8"/>
      <c r="D22" s="8"/>
      <c r="E22" s="17"/>
      <c r="F22" s="22"/>
      <c r="G22" s="22"/>
      <c r="H22" s="22"/>
      <c r="I22" s="22"/>
      <c r="J22" s="22"/>
      <c r="K22" s="22"/>
      <c r="L22" s="20"/>
      <c r="M22" s="30"/>
    </row>
    <row r="23" spans="1:13" s="13" customFormat="1" ht="15" customHeight="1" x14ac:dyDescent="0.25">
      <c r="A23" s="115" t="s">
        <v>41</v>
      </c>
      <c r="B23" s="117" t="s">
        <v>49</v>
      </c>
      <c r="C23" s="118"/>
      <c r="D23" s="118"/>
      <c r="E23" s="119"/>
      <c r="F23" s="120" t="s">
        <v>42</v>
      </c>
      <c r="G23" s="121"/>
      <c r="H23" s="121"/>
      <c r="I23" s="121"/>
      <c r="J23" s="121"/>
      <c r="K23" s="122"/>
      <c r="L23" s="123" t="s">
        <v>43</v>
      </c>
      <c r="M23" s="113" t="s">
        <v>44</v>
      </c>
    </row>
    <row r="24" spans="1:13" s="13" customFormat="1" ht="33.75" customHeight="1" x14ac:dyDescent="0.25">
      <c r="A24" s="116"/>
      <c r="B24" s="11" t="s">
        <v>1</v>
      </c>
      <c r="C24" s="12" t="s">
        <v>2</v>
      </c>
      <c r="D24" s="11" t="s">
        <v>3</v>
      </c>
      <c r="E24" s="12" t="s">
        <v>4</v>
      </c>
      <c r="F24" s="16" t="s">
        <v>47</v>
      </c>
      <c r="G24" s="16" t="s">
        <v>50</v>
      </c>
      <c r="H24" s="16" t="s">
        <v>51</v>
      </c>
      <c r="I24" s="16" t="s">
        <v>52</v>
      </c>
      <c r="J24" s="16" t="s">
        <v>48</v>
      </c>
      <c r="K24" s="16" t="s">
        <v>53</v>
      </c>
      <c r="L24" s="124"/>
      <c r="M24" s="114"/>
    </row>
    <row r="25" spans="1:13" s="57" customFormat="1" ht="15" customHeight="1" x14ac:dyDescent="0.25">
      <c r="A25" s="58" t="s">
        <v>113</v>
      </c>
      <c r="B25" s="23" t="s">
        <v>93</v>
      </c>
      <c r="C25" s="24">
        <v>3500</v>
      </c>
      <c r="D25" s="23" t="s">
        <v>7</v>
      </c>
      <c r="E25" s="24" t="s">
        <v>8</v>
      </c>
      <c r="F25" s="25">
        <f>63101.27*('PPI Adj'!D5)</f>
        <v>66950.447469999999</v>
      </c>
      <c r="G25" s="25"/>
      <c r="H25" s="25"/>
      <c r="I25" s="25"/>
      <c r="J25" s="25"/>
      <c r="K25" s="25"/>
      <c r="L25" s="25">
        <f>1641*('PPI Adj'!D5)</f>
        <v>1741.1009999999999</v>
      </c>
      <c r="M25" s="29">
        <v>0.2</v>
      </c>
    </row>
    <row r="26" spans="1:13" s="57" customFormat="1" ht="15" customHeight="1" x14ac:dyDescent="0.25">
      <c r="A26" s="58" t="s">
        <v>92</v>
      </c>
      <c r="B26" s="23" t="s">
        <v>93</v>
      </c>
      <c r="C26" s="24">
        <v>3500</v>
      </c>
      <c r="D26" s="23" t="s">
        <v>95</v>
      </c>
      <c r="E26" s="24" t="s">
        <v>55</v>
      </c>
      <c r="F26" s="25">
        <f>66246*('PPI Adj'!D5)</f>
        <v>70287.005999999994</v>
      </c>
      <c r="G26" s="25"/>
      <c r="H26" s="25"/>
      <c r="I26" s="25"/>
      <c r="J26" s="25"/>
      <c r="K26" s="25"/>
      <c r="L26" s="25" t="s">
        <v>54</v>
      </c>
      <c r="M26" s="29">
        <v>0.05</v>
      </c>
    </row>
    <row r="27" spans="1:13" s="57" customFormat="1" ht="15" customHeight="1" x14ac:dyDescent="0.25">
      <c r="A27" s="58" t="s">
        <v>92</v>
      </c>
      <c r="B27" s="23" t="s">
        <v>94</v>
      </c>
      <c r="C27" s="24">
        <v>350</v>
      </c>
      <c r="D27" s="23" t="s">
        <v>95</v>
      </c>
      <c r="E27" s="24" t="s">
        <v>97</v>
      </c>
      <c r="F27" s="25">
        <f>69743*('PPI Adj'!D5)</f>
        <v>73997.322999999989</v>
      </c>
      <c r="G27" s="25"/>
      <c r="H27" s="25"/>
      <c r="I27" s="25"/>
      <c r="J27" s="25"/>
      <c r="K27" s="25"/>
      <c r="L27" s="25" t="s">
        <v>54</v>
      </c>
      <c r="M27" s="29">
        <v>0.05</v>
      </c>
    </row>
    <row r="28" spans="1:13" s="57" customFormat="1" ht="15" customHeight="1" x14ac:dyDescent="0.25">
      <c r="A28" s="58" t="s">
        <v>101</v>
      </c>
      <c r="B28" s="23" t="s">
        <v>93</v>
      </c>
      <c r="C28" s="24">
        <v>3500</v>
      </c>
      <c r="D28" s="23" t="s">
        <v>9</v>
      </c>
      <c r="E28" s="24" t="s">
        <v>96</v>
      </c>
      <c r="F28" s="25">
        <f>72900*('PPI Adj'!D5)</f>
        <v>77346.899999999994</v>
      </c>
      <c r="G28" s="25"/>
      <c r="H28" s="25"/>
      <c r="I28" s="25"/>
      <c r="J28" s="25"/>
      <c r="K28" s="25"/>
      <c r="L28" s="25" t="s">
        <v>54</v>
      </c>
      <c r="M28" s="29">
        <v>0.12</v>
      </c>
    </row>
    <row r="30" spans="1:13" s="6" customFormat="1" ht="25.5" customHeight="1" x14ac:dyDescent="0.25">
      <c r="A30" s="7" t="s">
        <v>11</v>
      </c>
      <c r="B30" s="7"/>
      <c r="C30" s="8"/>
      <c r="D30" s="8"/>
      <c r="E30" s="17"/>
      <c r="F30" s="22"/>
      <c r="G30" s="22"/>
      <c r="H30" s="22"/>
      <c r="I30" s="22"/>
      <c r="J30" s="22"/>
      <c r="K30" s="22"/>
      <c r="L30" s="20"/>
      <c r="M30" s="30"/>
    </row>
    <row r="31" spans="1:13" s="13" customFormat="1" ht="15" customHeight="1" x14ac:dyDescent="0.25">
      <c r="A31" s="115" t="s">
        <v>41</v>
      </c>
      <c r="B31" s="117" t="s">
        <v>49</v>
      </c>
      <c r="C31" s="118"/>
      <c r="D31" s="118"/>
      <c r="E31" s="119"/>
      <c r="F31" s="120" t="s">
        <v>42</v>
      </c>
      <c r="G31" s="121"/>
      <c r="H31" s="121"/>
      <c r="I31" s="121"/>
      <c r="J31" s="121"/>
      <c r="K31" s="122"/>
      <c r="L31" s="123" t="s">
        <v>43</v>
      </c>
      <c r="M31" s="113" t="s">
        <v>44</v>
      </c>
    </row>
    <row r="32" spans="1:13" s="13" customFormat="1" ht="36" customHeight="1" x14ac:dyDescent="0.25">
      <c r="A32" s="116"/>
      <c r="B32" s="11" t="s">
        <v>1</v>
      </c>
      <c r="C32" s="12" t="s">
        <v>2</v>
      </c>
      <c r="D32" s="11" t="s">
        <v>3</v>
      </c>
      <c r="E32" s="12" t="s">
        <v>4</v>
      </c>
      <c r="F32" s="16" t="s">
        <v>47</v>
      </c>
      <c r="G32" s="16" t="s">
        <v>50</v>
      </c>
      <c r="H32" s="16" t="s">
        <v>51</v>
      </c>
      <c r="I32" s="16" t="s">
        <v>52</v>
      </c>
      <c r="J32" s="16" t="s">
        <v>48</v>
      </c>
      <c r="K32" s="16" t="s">
        <v>53</v>
      </c>
      <c r="L32" s="124"/>
      <c r="M32" s="114"/>
    </row>
    <row r="33" spans="1:13" s="57" customFormat="1" ht="15" customHeight="1" x14ac:dyDescent="0.25">
      <c r="A33" s="58" t="s">
        <v>92</v>
      </c>
      <c r="B33" s="23" t="s">
        <v>93</v>
      </c>
      <c r="C33" s="24">
        <v>3500</v>
      </c>
      <c r="D33" s="23" t="s">
        <v>95</v>
      </c>
      <c r="E33" s="24" t="s">
        <v>12</v>
      </c>
      <c r="F33" s="25">
        <f>67365*('PPI Adj'!D5)</f>
        <v>71474.264999999999</v>
      </c>
      <c r="G33" s="25"/>
      <c r="H33" s="25"/>
      <c r="I33" s="25"/>
      <c r="J33" s="25"/>
      <c r="K33" s="25"/>
      <c r="L33" s="25">
        <f>483*('PPI Adj'!D5)</f>
        <v>512.46299999999997</v>
      </c>
      <c r="M33" s="29">
        <v>0.05</v>
      </c>
    </row>
    <row r="34" spans="1:13" s="57" customFormat="1" ht="15" customHeight="1" x14ac:dyDescent="0.25">
      <c r="A34" s="58" t="s">
        <v>92</v>
      </c>
      <c r="B34" s="23" t="s">
        <v>6</v>
      </c>
      <c r="C34" s="24" t="s">
        <v>13</v>
      </c>
      <c r="D34" s="23" t="s">
        <v>95</v>
      </c>
      <c r="E34" s="24" t="s">
        <v>12</v>
      </c>
      <c r="F34" s="25">
        <f>71788*('PPI Adj'!D5)</f>
        <v>76167.067999999999</v>
      </c>
      <c r="G34" s="25"/>
      <c r="H34" s="25"/>
      <c r="I34" s="25"/>
      <c r="J34" s="25"/>
      <c r="K34" s="25"/>
      <c r="L34" s="25" t="s">
        <v>54</v>
      </c>
      <c r="M34" s="29">
        <v>0.05</v>
      </c>
    </row>
    <row r="35" spans="1:13" s="57" customFormat="1" ht="15" customHeight="1" x14ac:dyDescent="0.25">
      <c r="A35" s="58" t="s">
        <v>92</v>
      </c>
      <c r="B35" s="23" t="s">
        <v>6</v>
      </c>
      <c r="C35" s="24" t="s">
        <v>102</v>
      </c>
      <c r="D35" s="23" t="s">
        <v>95</v>
      </c>
      <c r="E35" s="24" t="s">
        <v>97</v>
      </c>
      <c r="F35" s="25">
        <f>73446*('PPI Adj'!D5)</f>
        <v>77926.205999999991</v>
      </c>
      <c r="G35" s="25"/>
      <c r="H35" s="25"/>
      <c r="I35" s="25"/>
      <c r="J35" s="25"/>
      <c r="K35" s="25"/>
      <c r="L35" s="25" t="s">
        <v>54</v>
      </c>
      <c r="M35" s="29">
        <v>0.05</v>
      </c>
    </row>
    <row r="36" spans="1:13" s="57" customFormat="1" ht="15" customHeight="1" x14ac:dyDescent="0.25">
      <c r="A36" s="58" t="s">
        <v>101</v>
      </c>
      <c r="B36" s="23" t="s">
        <v>93</v>
      </c>
      <c r="C36" s="24">
        <v>3500</v>
      </c>
      <c r="D36" s="23" t="s">
        <v>9</v>
      </c>
      <c r="E36" s="24" t="s">
        <v>14</v>
      </c>
      <c r="F36" s="25">
        <f>76100*('PPI Adj'!D5)</f>
        <v>80742.099999999991</v>
      </c>
      <c r="G36" s="25"/>
      <c r="H36" s="25"/>
      <c r="I36" s="25"/>
      <c r="J36" s="25"/>
      <c r="K36" s="25"/>
      <c r="L36" s="25" t="s">
        <v>54</v>
      </c>
      <c r="M36" s="29">
        <v>0.12</v>
      </c>
    </row>
    <row r="37" spans="1:13" s="57" customFormat="1" ht="15" customHeight="1" x14ac:dyDescent="0.25">
      <c r="A37" s="58" t="s">
        <v>113</v>
      </c>
      <c r="B37" s="23" t="s">
        <v>6</v>
      </c>
      <c r="C37" s="24" t="s">
        <v>13</v>
      </c>
      <c r="D37" s="23" t="s">
        <v>7</v>
      </c>
      <c r="E37" s="24" t="s">
        <v>8</v>
      </c>
      <c r="F37" s="25">
        <f>76912.31*('PPI Adj'!D5)</f>
        <v>81603.960909999994</v>
      </c>
      <c r="G37" s="25"/>
      <c r="H37" s="25"/>
      <c r="I37" s="25"/>
      <c r="J37" s="25"/>
      <c r="K37" s="25"/>
      <c r="L37" s="25">
        <f>1641*('PPI Adj'!D5)</f>
        <v>1741.1009999999999</v>
      </c>
      <c r="M37" s="29">
        <v>0.2</v>
      </c>
    </row>
    <row r="38" spans="1:13" s="57" customFormat="1" ht="15" customHeight="1" x14ac:dyDescent="0.25">
      <c r="A38" s="58" t="s">
        <v>101</v>
      </c>
      <c r="B38" s="23" t="s">
        <v>6</v>
      </c>
      <c r="C38" s="24" t="s">
        <v>13</v>
      </c>
      <c r="D38" s="23" t="s">
        <v>9</v>
      </c>
      <c r="E38" s="24" t="s">
        <v>14</v>
      </c>
      <c r="F38" s="25">
        <f>78900*('PPI Adj'!D5)</f>
        <v>83712.899999999994</v>
      </c>
      <c r="G38" s="25"/>
      <c r="H38" s="25"/>
      <c r="I38" s="25"/>
      <c r="J38" s="25"/>
      <c r="K38" s="25"/>
      <c r="L38" s="25" t="s">
        <v>54</v>
      </c>
      <c r="M38" s="29">
        <v>0.12</v>
      </c>
    </row>
    <row r="39" spans="1:13" s="57" customFormat="1" ht="15.75" customHeight="1" x14ac:dyDescent="0.25">
      <c r="A39" s="58" t="s">
        <v>92</v>
      </c>
      <c r="B39" s="23" t="s">
        <v>6</v>
      </c>
      <c r="C39" s="24" t="s">
        <v>98</v>
      </c>
      <c r="D39" s="23" t="s">
        <v>95</v>
      </c>
      <c r="E39" s="24" t="s">
        <v>12</v>
      </c>
      <c r="F39" s="25"/>
      <c r="H39" s="25"/>
      <c r="I39" s="25"/>
      <c r="J39" s="25"/>
      <c r="K39" s="25">
        <f>247469*('PPI Adj'!D5)</f>
        <v>262564.609</v>
      </c>
      <c r="L39" s="25">
        <f>392*('PPI Adj'!D5)</f>
        <v>415.91199999999998</v>
      </c>
      <c r="M39" s="29">
        <v>0.05</v>
      </c>
    </row>
    <row r="40" spans="1:13" s="57" customFormat="1" ht="15" customHeight="1" x14ac:dyDescent="0.25">
      <c r="A40" s="58" t="s">
        <v>80</v>
      </c>
      <c r="B40" s="23" t="s">
        <v>99</v>
      </c>
      <c r="C40" s="24" t="s">
        <v>100</v>
      </c>
      <c r="D40" s="23" t="s">
        <v>99</v>
      </c>
      <c r="E40" s="24" t="s">
        <v>100</v>
      </c>
      <c r="F40" s="25"/>
      <c r="G40" s="25"/>
      <c r="H40" s="25"/>
      <c r="I40" s="25"/>
      <c r="J40" s="25"/>
      <c r="K40" s="25">
        <f>251250*('PPI Adj'!D5)</f>
        <v>266576.25</v>
      </c>
      <c r="L40" s="25" t="s">
        <v>54</v>
      </c>
      <c r="M40" s="29">
        <v>0.05</v>
      </c>
    </row>
    <row r="42" spans="1:13" s="6" customFormat="1" ht="25.5" customHeight="1" x14ac:dyDescent="0.25">
      <c r="A42" s="7" t="s">
        <v>15</v>
      </c>
      <c r="B42" s="7"/>
      <c r="C42" s="8"/>
      <c r="D42" s="8"/>
      <c r="E42" s="17"/>
      <c r="F42" s="22"/>
      <c r="G42" s="22"/>
      <c r="H42" s="22"/>
      <c r="I42" s="22"/>
      <c r="J42" s="22"/>
      <c r="K42" s="22"/>
      <c r="L42" s="20"/>
      <c r="M42" s="30"/>
    </row>
    <row r="43" spans="1:13" s="13" customFormat="1" ht="15" customHeight="1" x14ac:dyDescent="0.25">
      <c r="A43" s="115" t="s">
        <v>41</v>
      </c>
      <c r="B43" s="117" t="s">
        <v>49</v>
      </c>
      <c r="C43" s="118"/>
      <c r="D43" s="118"/>
      <c r="E43" s="119"/>
      <c r="F43" s="120" t="s">
        <v>42</v>
      </c>
      <c r="G43" s="121"/>
      <c r="H43" s="121"/>
      <c r="I43" s="121"/>
      <c r="J43" s="121"/>
      <c r="K43" s="122"/>
      <c r="L43" s="123" t="s">
        <v>43</v>
      </c>
      <c r="M43" s="113" t="s">
        <v>44</v>
      </c>
    </row>
    <row r="44" spans="1:13" s="13" customFormat="1" ht="37.5" customHeight="1" x14ac:dyDescent="0.25">
      <c r="A44" s="116"/>
      <c r="B44" s="11" t="s">
        <v>1</v>
      </c>
      <c r="C44" s="12" t="s">
        <v>2</v>
      </c>
      <c r="D44" s="11" t="s">
        <v>3</v>
      </c>
      <c r="E44" s="12" t="s">
        <v>4</v>
      </c>
      <c r="F44" s="16" t="s">
        <v>47</v>
      </c>
      <c r="G44" s="16" t="s">
        <v>50</v>
      </c>
      <c r="H44" s="16" t="s">
        <v>51</v>
      </c>
      <c r="I44" s="16" t="s">
        <v>52</v>
      </c>
      <c r="J44" s="16" t="s">
        <v>48</v>
      </c>
      <c r="K44" s="16" t="s">
        <v>53</v>
      </c>
      <c r="L44" s="124"/>
      <c r="M44" s="114"/>
    </row>
    <row r="45" spans="1:13" s="57" customFormat="1" ht="15" customHeight="1" x14ac:dyDescent="0.25">
      <c r="A45" s="58" t="s">
        <v>113</v>
      </c>
      <c r="B45" s="23" t="s">
        <v>93</v>
      </c>
      <c r="C45" s="24">
        <v>3500</v>
      </c>
      <c r="D45" s="23" t="s">
        <v>7</v>
      </c>
      <c r="E45" s="24" t="s">
        <v>8</v>
      </c>
      <c r="F45" s="25">
        <f>67935.09*('PPI Adj'!D5)</f>
        <v>72079.130489999996</v>
      </c>
      <c r="G45" s="25"/>
      <c r="H45" s="25"/>
      <c r="I45" s="25"/>
      <c r="J45" s="25"/>
      <c r="K45" s="25"/>
      <c r="L45" s="25">
        <f>1641*('PPI Adj'!D5)</f>
        <v>1741.1009999999999</v>
      </c>
      <c r="M45" s="29">
        <v>0.2</v>
      </c>
    </row>
    <row r="46" spans="1:13" s="57" customFormat="1" ht="15" customHeight="1" x14ac:dyDescent="0.25">
      <c r="A46" s="58" t="s">
        <v>92</v>
      </c>
      <c r="B46" s="23" t="s">
        <v>93</v>
      </c>
      <c r="C46" s="24">
        <v>3500</v>
      </c>
      <c r="D46" s="23" t="s">
        <v>95</v>
      </c>
      <c r="E46" s="24" t="s">
        <v>12</v>
      </c>
      <c r="F46" s="25">
        <f>68114*('PPI Adj'!D5)</f>
        <v>72268.953999999998</v>
      </c>
      <c r="G46" s="25"/>
      <c r="H46" s="25"/>
      <c r="I46" s="25"/>
      <c r="J46" s="25"/>
      <c r="K46" s="25"/>
      <c r="L46" s="25">
        <f>483*('PPI Adj'!D5)</f>
        <v>512.46299999999997</v>
      </c>
      <c r="M46" s="29">
        <v>0.05</v>
      </c>
    </row>
    <row r="47" spans="1:13" s="57" customFormat="1" ht="15" customHeight="1" x14ac:dyDescent="0.25">
      <c r="A47" s="58" t="s">
        <v>92</v>
      </c>
      <c r="B47" s="23" t="s">
        <v>6</v>
      </c>
      <c r="C47" s="24" t="s">
        <v>13</v>
      </c>
      <c r="D47" s="23" t="s">
        <v>95</v>
      </c>
      <c r="E47" s="24" t="s">
        <v>12</v>
      </c>
      <c r="F47" s="25">
        <f>75225*('PPI Adj'!D5)</f>
        <v>79813.724999999991</v>
      </c>
      <c r="G47" s="25"/>
      <c r="H47" s="25"/>
      <c r="I47" s="25"/>
      <c r="J47" s="25"/>
      <c r="K47" s="25"/>
      <c r="L47" s="25" t="s">
        <v>54</v>
      </c>
      <c r="M47" s="29">
        <v>0.05</v>
      </c>
    </row>
    <row r="48" spans="1:13" s="57" customFormat="1" ht="15" customHeight="1" x14ac:dyDescent="0.25">
      <c r="A48" s="58" t="s">
        <v>101</v>
      </c>
      <c r="B48" s="23" t="s">
        <v>93</v>
      </c>
      <c r="C48" s="24">
        <v>3500</v>
      </c>
      <c r="D48" s="23" t="s">
        <v>9</v>
      </c>
      <c r="E48" s="24" t="s">
        <v>14</v>
      </c>
      <c r="F48" s="25">
        <f>77800*('PPI Adj'!D5)</f>
        <v>82545.799999999988</v>
      </c>
      <c r="G48" s="25"/>
      <c r="H48" s="25"/>
      <c r="I48" s="25"/>
      <c r="J48" s="25"/>
      <c r="K48" s="25"/>
      <c r="L48" s="25" t="s">
        <v>54</v>
      </c>
      <c r="M48" s="29">
        <v>0.12</v>
      </c>
    </row>
    <row r="49" spans="1:13" s="57" customFormat="1" ht="15" customHeight="1" x14ac:dyDescent="0.25">
      <c r="A49" s="58" t="s">
        <v>80</v>
      </c>
      <c r="B49" s="23" t="s">
        <v>99</v>
      </c>
      <c r="C49" s="24" t="s">
        <v>100</v>
      </c>
      <c r="D49" s="23" t="s">
        <v>99</v>
      </c>
      <c r="E49" s="24" t="s">
        <v>100</v>
      </c>
      <c r="F49" s="88"/>
      <c r="G49" s="25"/>
      <c r="H49" s="25"/>
      <c r="I49" s="25"/>
      <c r="J49" s="25"/>
      <c r="K49" s="25">
        <f>253500*('PPI Adj'!D5)</f>
        <v>268963.5</v>
      </c>
      <c r="L49" s="25" t="s">
        <v>54</v>
      </c>
      <c r="M49" s="29">
        <v>0.05</v>
      </c>
    </row>
    <row r="50" spans="1:13" s="57" customFormat="1" ht="15" customHeight="1" x14ac:dyDescent="0.25">
      <c r="A50" s="58" t="s">
        <v>106</v>
      </c>
      <c r="B50" s="23" t="s">
        <v>6</v>
      </c>
      <c r="C50" s="24" t="s">
        <v>98</v>
      </c>
      <c r="D50" s="23" t="s">
        <v>10</v>
      </c>
      <c r="E50" s="24" t="s">
        <v>103</v>
      </c>
      <c r="F50" s="59"/>
      <c r="G50" s="25"/>
      <c r="H50" s="25"/>
      <c r="I50" s="25"/>
      <c r="J50" s="25"/>
      <c r="K50" s="25">
        <f>270185.1*('PPI Adj'!D5)</f>
        <v>286666.39109999995</v>
      </c>
      <c r="L50" s="25">
        <f>1800*('PPI Adj'!D5)</f>
        <v>1909.8</v>
      </c>
      <c r="M50" s="29">
        <v>0.01</v>
      </c>
    </row>
    <row r="51" spans="1:13" s="57" customFormat="1" ht="15" customHeight="1" x14ac:dyDescent="0.25">
      <c r="A51" s="58" t="s">
        <v>101</v>
      </c>
      <c r="B51" s="23" t="s">
        <v>6</v>
      </c>
      <c r="C51" s="24" t="s">
        <v>98</v>
      </c>
      <c r="D51" s="23" t="s">
        <v>9</v>
      </c>
      <c r="E51" s="24" t="s">
        <v>14</v>
      </c>
      <c r="F51" s="25"/>
      <c r="G51" s="25"/>
      <c r="H51" s="25"/>
      <c r="I51" s="25"/>
      <c r="J51" s="25"/>
      <c r="K51" s="25">
        <f>276900*('PPI Adj'!D5)</f>
        <v>293790.89999999997</v>
      </c>
      <c r="L51" s="25" t="s">
        <v>54</v>
      </c>
      <c r="M51" s="29">
        <v>0.12</v>
      </c>
    </row>
    <row r="53" spans="1:13" s="6" customFormat="1" ht="25.5" customHeight="1" x14ac:dyDescent="0.25">
      <c r="A53" s="7" t="s">
        <v>16</v>
      </c>
      <c r="B53" s="7"/>
      <c r="C53" s="8"/>
      <c r="D53" s="8"/>
      <c r="E53" s="17"/>
      <c r="F53" s="22"/>
      <c r="G53" s="22"/>
      <c r="H53" s="22"/>
      <c r="I53" s="22"/>
      <c r="J53" s="22"/>
      <c r="K53" s="22"/>
      <c r="L53" s="20"/>
      <c r="M53" s="30"/>
    </row>
    <row r="54" spans="1:13" s="13" customFormat="1" ht="15" customHeight="1" x14ac:dyDescent="0.25">
      <c r="A54" s="115" t="s">
        <v>41</v>
      </c>
      <c r="B54" s="117" t="s">
        <v>49</v>
      </c>
      <c r="C54" s="118"/>
      <c r="D54" s="118"/>
      <c r="E54" s="119"/>
      <c r="F54" s="120" t="s">
        <v>42</v>
      </c>
      <c r="G54" s="121"/>
      <c r="H54" s="121"/>
      <c r="I54" s="121"/>
      <c r="J54" s="121"/>
      <c r="K54" s="122"/>
      <c r="L54" s="123" t="s">
        <v>43</v>
      </c>
      <c r="M54" s="113" t="s">
        <v>44</v>
      </c>
    </row>
    <row r="55" spans="1:13" s="13" customFormat="1" ht="37.5" customHeight="1" x14ac:dyDescent="0.25">
      <c r="A55" s="116"/>
      <c r="B55" s="11" t="s">
        <v>1</v>
      </c>
      <c r="C55" s="12" t="s">
        <v>2</v>
      </c>
      <c r="D55" s="11" t="s">
        <v>3</v>
      </c>
      <c r="E55" s="12" t="s">
        <v>4</v>
      </c>
      <c r="F55" s="16" t="s">
        <v>47</v>
      </c>
      <c r="G55" s="16" t="s">
        <v>50</v>
      </c>
      <c r="H55" s="16" t="s">
        <v>51</v>
      </c>
      <c r="I55" s="16" t="s">
        <v>52</v>
      </c>
      <c r="J55" s="16" t="s">
        <v>48</v>
      </c>
      <c r="K55" s="16" t="s">
        <v>53</v>
      </c>
      <c r="L55" s="124"/>
      <c r="M55" s="114"/>
    </row>
    <row r="56" spans="1:13" s="57" customFormat="1" ht="15" customHeight="1" x14ac:dyDescent="0.25">
      <c r="A56" s="58" t="s">
        <v>92</v>
      </c>
      <c r="B56" s="23" t="s">
        <v>93</v>
      </c>
      <c r="C56" s="24">
        <v>4500</v>
      </c>
      <c r="D56" s="23" t="s">
        <v>95</v>
      </c>
      <c r="E56" s="24" t="s">
        <v>12</v>
      </c>
      <c r="F56" s="25">
        <f>71783*('PPI Adj'!D5)</f>
        <v>76161.762999999992</v>
      </c>
      <c r="G56" s="25"/>
      <c r="H56" s="25"/>
      <c r="I56" s="25"/>
      <c r="J56" s="25"/>
      <c r="K56" s="25"/>
      <c r="L56" s="25">
        <f>404.6*('PPI Adj'!D5)</f>
        <v>429.28059999999999</v>
      </c>
      <c r="M56" s="29">
        <v>0.05</v>
      </c>
    </row>
    <row r="57" spans="1:13" s="57" customFormat="1" ht="15" customHeight="1" x14ac:dyDescent="0.25">
      <c r="A57" s="58" t="s">
        <v>113</v>
      </c>
      <c r="B57" s="23" t="s">
        <v>93</v>
      </c>
      <c r="C57" s="24">
        <v>4500</v>
      </c>
      <c r="D57" s="23" t="s">
        <v>7</v>
      </c>
      <c r="E57" s="24" t="s">
        <v>8</v>
      </c>
      <c r="F57" s="25">
        <f>72453.74*('PPI Adj'!D5)</f>
        <v>76873.418139999994</v>
      </c>
      <c r="G57" s="25"/>
      <c r="H57" s="25"/>
      <c r="I57" s="25"/>
      <c r="J57" s="25"/>
      <c r="K57" s="25"/>
      <c r="L57" s="25">
        <f>1641*('PPI Adj'!D5)</f>
        <v>1741.1009999999999</v>
      </c>
      <c r="M57" s="29">
        <v>0.2</v>
      </c>
    </row>
    <row r="58" spans="1:13" s="57" customFormat="1" ht="15" customHeight="1" x14ac:dyDescent="0.25">
      <c r="A58" s="58" t="s">
        <v>92</v>
      </c>
      <c r="B58" s="23" t="s">
        <v>6</v>
      </c>
      <c r="C58" s="24" t="s">
        <v>98</v>
      </c>
      <c r="D58" s="23" t="s">
        <v>95</v>
      </c>
      <c r="E58" s="24" t="s">
        <v>12</v>
      </c>
      <c r="F58" s="25">
        <f>77312*('PPI Adj'!D5)</f>
        <v>82028.031999999992</v>
      </c>
      <c r="G58" s="25"/>
      <c r="H58" s="25"/>
      <c r="I58" s="25"/>
      <c r="J58" s="25"/>
      <c r="K58" s="25"/>
      <c r="L58" s="25" t="s">
        <v>54</v>
      </c>
      <c r="M58" s="29">
        <v>0.05</v>
      </c>
    </row>
    <row r="59" spans="1:13" s="57" customFormat="1" ht="15" customHeight="1" x14ac:dyDescent="0.25">
      <c r="A59" s="58" t="s">
        <v>101</v>
      </c>
      <c r="B59" s="23" t="s">
        <v>93</v>
      </c>
      <c r="C59" s="24">
        <v>3500</v>
      </c>
      <c r="D59" s="23" t="s">
        <v>9</v>
      </c>
      <c r="E59" s="24" t="s">
        <v>14</v>
      </c>
      <c r="F59" s="25">
        <f>79900*('PPI Adj'!D5)</f>
        <v>84773.9</v>
      </c>
      <c r="G59" s="25"/>
      <c r="H59" s="25"/>
      <c r="I59" s="25"/>
      <c r="J59" s="25"/>
      <c r="K59" s="25"/>
      <c r="L59" s="25">
        <f>5997*('PPI Adj'!D5)</f>
        <v>6362.817</v>
      </c>
      <c r="M59" s="29">
        <v>0.12</v>
      </c>
    </row>
    <row r="60" spans="1:13" s="57" customFormat="1" ht="15" customHeight="1" x14ac:dyDescent="0.25">
      <c r="A60" s="58" t="s">
        <v>101</v>
      </c>
      <c r="B60" s="23" t="s">
        <v>6</v>
      </c>
      <c r="C60" s="24" t="s">
        <v>98</v>
      </c>
      <c r="D60" s="23" t="s">
        <v>9</v>
      </c>
      <c r="E60" s="24" t="s">
        <v>14</v>
      </c>
      <c r="F60" s="25">
        <f>84000*('PPI Adj'!D5)</f>
        <v>89124</v>
      </c>
      <c r="G60" s="25"/>
      <c r="H60" s="25">
        <f>104700*('PPI Adj'!D5)</f>
        <v>111086.7</v>
      </c>
      <c r="I60" s="25"/>
      <c r="J60" s="25"/>
      <c r="K60" s="25"/>
      <c r="L60" s="25" t="s">
        <v>54</v>
      </c>
      <c r="M60" s="29">
        <v>0.12</v>
      </c>
    </row>
    <row r="61" spans="1:13" s="57" customFormat="1" ht="15" customHeight="1" x14ac:dyDescent="0.25">
      <c r="A61" s="58" t="s">
        <v>105</v>
      </c>
      <c r="B61" s="23" t="s">
        <v>104</v>
      </c>
      <c r="C61" s="24">
        <v>4500</v>
      </c>
      <c r="D61" s="23" t="s">
        <v>10</v>
      </c>
      <c r="E61" s="24" t="s">
        <v>17</v>
      </c>
      <c r="F61" s="25">
        <f>83190.06*('PPI Adj'!D5)</f>
        <v>88264.653659999996</v>
      </c>
      <c r="H61" s="25"/>
      <c r="I61" s="25"/>
      <c r="J61" s="25"/>
      <c r="K61" s="25"/>
      <c r="L61" s="25">
        <f>1800*('PPI Adj'!D5)</f>
        <v>1909.8</v>
      </c>
      <c r="M61" s="29">
        <v>0.01</v>
      </c>
    </row>
    <row r="62" spans="1:13" s="57" customFormat="1" ht="15" customHeight="1" x14ac:dyDescent="0.25">
      <c r="A62" s="58" t="s">
        <v>101</v>
      </c>
      <c r="B62" s="23" t="s">
        <v>6</v>
      </c>
      <c r="C62" s="24" t="s">
        <v>98</v>
      </c>
      <c r="D62" s="23" t="s">
        <v>9</v>
      </c>
      <c r="E62" s="24" t="s">
        <v>14</v>
      </c>
      <c r="F62" s="25"/>
      <c r="G62" s="25"/>
      <c r="H62" s="25"/>
      <c r="I62" s="25"/>
      <c r="J62" s="25"/>
      <c r="K62" s="25">
        <f>278500*('PPI Adj'!D5)</f>
        <v>295488.5</v>
      </c>
      <c r="L62" s="25" t="s">
        <v>54</v>
      </c>
      <c r="M62" s="29">
        <v>0.12</v>
      </c>
    </row>
    <row r="64" spans="1:13" s="6" customFormat="1" ht="25.5" customHeight="1" x14ac:dyDescent="0.25">
      <c r="A64" s="7" t="s">
        <v>18</v>
      </c>
      <c r="B64" s="7"/>
      <c r="C64" s="8"/>
      <c r="D64" s="8"/>
      <c r="E64" s="17"/>
      <c r="F64" s="22"/>
      <c r="G64" s="22"/>
      <c r="H64" s="22"/>
      <c r="I64" s="22"/>
      <c r="J64" s="22"/>
      <c r="K64" s="22"/>
      <c r="L64" s="20"/>
      <c r="M64" s="30"/>
    </row>
    <row r="65" spans="1:13" s="10" customFormat="1" ht="24" customHeight="1" x14ac:dyDescent="0.25">
      <c r="A65" s="36" t="s">
        <v>46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8"/>
    </row>
    <row r="66" spans="1:13" x14ac:dyDescent="0.2">
      <c r="A66" s="5"/>
      <c r="D66" s="5"/>
      <c r="E66" s="15"/>
      <c r="L66" s="21"/>
    </row>
    <row r="67" spans="1:13" s="6" customFormat="1" ht="25.5" customHeight="1" x14ac:dyDescent="0.25">
      <c r="A67" s="7" t="s">
        <v>19</v>
      </c>
      <c r="B67" s="7"/>
      <c r="C67" s="8"/>
      <c r="D67" s="8"/>
      <c r="E67" s="17"/>
      <c r="F67" s="22"/>
      <c r="G67" s="22"/>
      <c r="H67" s="22"/>
      <c r="I67" s="22"/>
      <c r="J67" s="22"/>
      <c r="K67" s="22"/>
      <c r="L67" s="20"/>
      <c r="M67" s="30"/>
    </row>
    <row r="68" spans="1:13" s="13" customFormat="1" ht="15" customHeight="1" x14ac:dyDescent="0.25">
      <c r="A68" s="115" t="s">
        <v>41</v>
      </c>
      <c r="B68" s="117" t="s">
        <v>49</v>
      </c>
      <c r="C68" s="118"/>
      <c r="D68" s="118"/>
      <c r="E68" s="119"/>
      <c r="F68" s="120" t="s">
        <v>42</v>
      </c>
      <c r="G68" s="121"/>
      <c r="H68" s="121"/>
      <c r="I68" s="121"/>
      <c r="J68" s="121"/>
      <c r="K68" s="122"/>
      <c r="L68" s="123" t="s">
        <v>43</v>
      </c>
      <c r="M68" s="113" t="s">
        <v>44</v>
      </c>
    </row>
    <row r="69" spans="1:13" s="13" customFormat="1" ht="36.75" customHeight="1" x14ac:dyDescent="0.25">
      <c r="A69" s="116"/>
      <c r="B69" s="11" t="s">
        <v>1</v>
      </c>
      <c r="C69" s="12" t="s">
        <v>2</v>
      </c>
      <c r="D69" s="11" t="s">
        <v>3</v>
      </c>
      <c r="E69" s="12" t="s">
        <v>4</v>
      </c>
      <c r="F69" s="16" t="s">
        <v>47</v>
      </c>
      <c r="G69" s="16" t="s">
        <v>50</v>
      </c>
      <c r="H69" s="16" t="s">
        <v>51</v>
      </c>
      <c r="I69" s="16" t="s">
        <v>52</v>
      </c>
      <c r="J69" s="16" t="s">
        <v>48</v>
      </c>
      <c r="K69" s="16" t="s">
        <v>53</v>
      </c>
      <c r="L69" s="124"/>
      <c r="M69" s="114"/>
    </row>
    <row r="70" spans="1:13" s="57" customFormat="1" ht="15" customHeight="1" x14ac:dyDescent="0.25">
      <c r="A70" s="58" t="s">
        <v>113</v>
      </c>
      <c r="B70" s="23" t="s">
        <v>21</v>
      </c>
      <c r="C70" s="24" t="s">
        <v>22</v>
      </c>
      <c r="D70" s="23" t="s">
        <v>7</v>
      </c>
      <c r="E70" s="24" t="s">
        <v>23</v>
      </c>
      <c r="F70" s="25"/>
      <c r="G70" s="25">
        <f>116565.17*('PPI Adj'!D5)</f>
        <v>123675.64537</v>
      </c>
      <c r="H70" s="25"/>
      <c r="I70" s="25"/>
      <c r="J70" s="25"/>
      <c r="K70" s="25"/>
      <c r="L70" s="25" t="s">
        <v>45</v>
      </c>
      <c r="M70" s="29">
        <v>0.2</v>
      </c>
    </row>
    <row r="71" spans="1:13" s="57" customFormat="1" ht="15" customHeight="1" x14ac:dyDescent="0.25">
      <c r="A71" s="58" t="s">
        <v>101</v>
      </c>
      <c r="B71" s="23" t="s">
        <v>24</v>
      </c>
      <c r="C71" s="24" t="s">
        <v>25</v>
      </c>
      <c r="D71" s="23" t="s">
        <v>24</v>
      </c>
      <c r="E71" s="24" t="s">
        <v>26</v>
      </c>
      <c r="F71" s="25">
        <f>122800*('PPI Adj'!D5)</f>
        <v>130290.79999999999</v>
      </c>
      <c r="G71" s="25">
        <f>124400*('PPI Adj'!D5)</f>
        <v>131988.4</v>
      </c>
      <c r="H71" s="25">
        <f>133300*('PPI Adj'!D5)</f>
        <v>141431.29999999999</v>
      </c>
      <c r="I71" s="25"/>
      <c r="J71" s="25"/>
      <c r="K71" s="25"/>
      <c r="L71" s="25" t="s">
        <v>45</v>
      </c>
      <c r="M71" s="29">
        <v>0.22</v>
      </c>
    </row>
    <row r="72" spans="1:13" s="57" customFormat="1" ht="15" customHeight="1" x14ac:dyDescent="0.25">
      <c r="A72" s="58" t="s">
        <v>107</v>
      </c>
      <c r="B72" s="23" t="s">
        <v>109</v>
      </c>
      <c r="C72" s="24" t="s">
        <v>20</v>
      </c>
      <c r="D72" s="23" t="s">
        <v>56</v>
      </c>
      <c r="E72" s="24" t="s">
        <v>20</v>
      </c>
      <c r="F72" s="25">
        <f>124971*('PPI Adj'!D5)</f>
        <v>132594.231</v>
      </c>
      <c r="G72" s="25">
        <f>127210*('PPI Adj'!D5)</f>
        <v>134969.81</v>
      </c>
      <c r="H72" s="25"/>
      <c r="I72" s="25"/>
      <c r="J72" s="25"/>
      <c r="K72" s="25"/>
      <c r="L72" s="25" t="s">
        <v>45</v>
      </c>
      <c r="M72" s="29">
        <v>0.16</v>
      </c>
    </row>
    <row r="73" spans="1:13" s="57" customFormat="1" ht="15" customHeight="1" x14ac:dyDescent="0.25">
      <c r="A73" s="58" t="s">
        <v>108</v>
      </c>
      <c r="B73" s="23" t="s">
        <v>110</v>
      </c>
      <c r="C73" s="24" t="s">
        <v>111</v>
      </c>
      <c r="D73" s="23" t="s">
        <v>110</v>
      </c>
      <c r="E73" s="24" t="s">
        <v>112</v>
      </c>
      <c r="F73" s="25"/>
      <c r="G73" s="25"/>
      <c r="H73" s="25"/>
      <c r="I73" s="25"/>
      <c r="J73" s="25"/>
      <c r="K73" s="25">
        <f>319148*('PPI Adj'!D5)</f>
        <v>338616.02799999999</v>
      </c>
      <c r="L73" s="25" t="s">
        <v>45</v>
      </c>
      <c r="M73" s="29">
        <v>0.01</v>
      </c>
    </row>
    <row r="74" spans="1:13" x14ac:dyDescent="0.2">
      <c r="F74" s="39"/>
      <c r="G74" s="39"/>
      <c r="H74" s="39"/>
      <c r="I74" s="39"/>
      <c r="J74" s="39"/>
      <c r="K74" s="39"/>
    </row>
    <row r="75" spans="1:13" s="6" customFormat="1" ht="25.5" customHeight="1" x14ac:dyDescent="0.25">
      <c r="A75" s="7" t="s">
        <v>27</v>
      </c>
      <c r="B75" s="7"/>
      <c r="C75" s="8"/>
      <c r="D75" s="8"/>
      <c r="E75" s="17"/>
      <c r="F75" s="40"/>
      <c r="G75" s="40"/>
      <c r="H75" s="40"/>
      <c r="I75" s="40"/>
      <c r="J75" s="40"/>
      <c r="K75" s="40"/>
      <c r="L75" s="20"/>
      <c r="M75" s="30"/>
    </row>
    <row r="76" spans="1:13" s="13" customFormat="1" ht="15" customHeight="1" x14ac:dyDescent="0.25">
      <c r="A76" s="115" t="s">
        <v>41</v>
      </c>
      <c r="B76" s="117" t="s">
        <v>49</v>
      </c>
      <c r="C76" s="118"/>
      <c r="D76" s="118"/>
      <c r="E76" s="119"/>
      <c r="F76" s="120" t="s">
        <v>42</v>
      </c>
      <c r="G76" s="121"/>
      <c r="H76" s="121"/>
      <c r="I76" s="121"/>
      <c r="J76" s="121"/>
      <c r="K76" s="122"/>
      <c r="L76" s="123" t="s">
        <v>43</v>
      </c>
      <c r="M76" s="113" t="s">
        <v>44</v>
      </c>
    </row>
    <row r="77" spans="1:13" s="13" customFormat="1" ht="35.25" customHeight="1" x14ac:dyDescent="0.25">
      <c r="A77" s="116"/>
      <c r="B77" s="11" t="s">
        <v>1</v>
      </c>
      <c r="C77" s="12" t="s">
        <v>2</v>
      </c>
      <c r="D77" s="11" t="s">
        <v>3</v>
      </c>
      <c r="E77" s="12" t="s">
        <v>4</v>
      </c>
      <c r="F77" s="16" t="s">
        <v>47</v>
      </c>
      <c r="G77" s="16" t="s">
        <v>50</v>
      </c>
      <c r="H77" s="16" t="s">
        <v>51</v>
      </c>
      <c r="I77" s="16" t="s">
        <v>52</v>
      </c>
      <c r="J77" s="16" t="s">
        <v>48</v>
      </c>
      <c r="K77" s="16" t="s">
        <v>53</v>
      </c>
      <c r="L77" s="124"/>
      <c r="M77" s="114"/>
    </row>
    <row r="78" spans="1:13" s="57" customFormat="1" ht="15" customHeight="1" x14ac:dyDescent="0.25">
      <c r="A78" s="56" t="s">
        <v>101</v>
      </c>
      <c r="B78" s="23" t="s">
        <v>24</v>
      </c>
      <c r="C78" s="24" t="s">
        <v>25</v>
      </c>
      <c r="D78" s="23" t="s">
        <v>24</v>
      </c>
      <c r="E78" s="24" t="s">
        <v>26</v>
      </c>
      <c r="F78" s="25">
        <f>128200*('PPI Adj'!D5)</f>
        <v>136020.19999999998</v>
      </c>
      <c r="G78" s="25">
        <f>131100*('PPI Adj'!D5)</f>
        <v>139097.1</v>
      </c>
      <c r="H78" s="25">
        <f>138300*('PPI Adj'!D5)</f>
        <v>146736.29999999999</v>
      </c>
      <c r="I78" s="25"/>
      <c r="J78" s="25"/>
      <c r="K78" s="25"/>
      <c r="L78" s="25" t="s">
        <v>45</v>
      </c>
      <c r="M78" s="29">
        <v>0.22</v>
      </c>
    </row>
    <row r="79" spans="1:13" s="57" customFormat="1" ht="15" customHeight="1" x14ac:dyDescent="0.25">
      <c r="A79" s="58" t="s">
        <v>107</v>
      </c>
      <c r="B79" s="23" t="s">
        <v>109</v>
      </c>
      <c r="C79" s="24" t="s">
        <v>20</v>
      </c>
      <c r="D79" s="23" t="s">
        <v>56</v>
      </c>
      <c r="E79" s="24" t="s">
        <v>20</v>
      </c>
      <c r="F79" s="25">
        <f>129521*('PPI Adj'!D5)</f>
        <v>137421.78099999999</v>
      </c>
      <c r="G79" s="25">
        <f>131695*('PPI Adj'!D5)</f>
        <v>139728.39499999999</v>
      </c>
      <c r="H79" s="25">
        <f>140295*('PPI Adj'!D5)</f>
        <v>148852.995</v>
      </c>
      <c r="I79" s="25"/>
      <c r="J79" s="25"/>
      <c r="K79" s="25"/>
      <c r="L79" s="25" t="s">
        <v>45</v>
      </c>
      <c r="M79" s="29">
        <v>0.16</v>
      </c>
    </row>
    <row r="80" spans="1:13" s="57" customFormat="1" ht="15" customHeight="1" x14ac:dyDescent="0.25">
      <c r="A80" s="58" t="s">
        <v>113</v>
      </c>
      <c r="B80" s="23" t="s">
        <v>21</v>
      </c>
      <c r="C80" s="24" t="s">
        <v>22</v>
      </c>
      <c r="D80" s="23" t="s">
        <v>7</v>
      </c>
      <c r="E80" s="24" t="s">
        <v>23</v>
      </c>
      <c r="F80" s="25"/>
      <c r="G80" s="25">
        <f>132514.03*('PPI Adj'!D5)</f>
        <v>140597.38582999998</v>
      </c>
      <c r="H80" s="25"/>
      <c r="I80" s="25"/>
      <c r="J80" s="25"/>
      <c r="K80" s="25"/>
      <c r="L80" s="25" t="s">
        <v>45</v>
      </c>
      <c r="M80" s="29">
        <v>0.2</v>
      </c>
    </row>
    <row r="81" spans="1:13" s="57" customFormat="1" ht="15" customHeight="1" x14ac:dyDescent="0.25">
      <c r="A81" s="58" t="s">
        <v>107</v>
      </c>
      <c r="B81" s="23" t="s">
        <v>109</v>
      </c>
      <c r="C81" s="24" t="s">
        <v>20</v>
      </c>
      <c r="D81" s="23" t="s">
        <v>56</v>
      </c>
      <c r="E81" s="24" t="s">
        <v>20</v>
      </c>
      <c r="F81" s="25"/>
      <c r="G81" s="25"/>
      <c r="H81" s="25"/>
      <c r="I81" s="25"/>
      <c r="J81" s="25"/>
      <c r="K81" s="25">
        <f>370482*('PPI Adj'!D5)</f>
        <v>393081.402</v>
      </c>
      <c r="L81" s="25" t="s">
        <v>45</v>
      </c>
      <c r="M81" s="29">
        <v>0.16</v>
      </c>
    </row>
    <row r="82" spans="1:13" s="43" customFormat="1" x14ac:dyDescent="0.2">
      <c r="C82" s="44"/>
      <c r="E82" s="44"/>
      <c r="F82" s="39"/>
      <c r="G82" s="39"/>
      <c r="H82" s="39"/>
      <c r="I82" s="39"/>
      <c r="J82" s="39"/>
      <c r="K82" s="89"/>
      <c r="L82" s="39"/>
      <c r="M82" s="90"/>
    </row>
    <row r="83" spans="1:13" s="50" customFormat="1" ht="25.5" customHeight="1" x14ac:dyDescent="0.25">
      <c r="A83" s="45" t="s">
        <v>28</v>
      </c>
      <c r="B83" s="45"/>
      <c r="C83" s="46"/>
      <c r="D83" s="46"/>
      <c r="E83" s="47"/>
      <c r="F83" s="40"/>
      <c r="G83" s="40"/>
      <c r="H83" s="40"/>
      <c r="I83" s="40"/>
      <c r="J83" s="40"/>
      <c r="K83" s="40"/>
      <c r="L83" s="48"/>
      <c r="M83" s="49"/>
    </row>
    <row r="84" spans="1:13" s="13" customFormat="1" ht="15" customHeight="1" x14ac:dyDescent="0.25">
      <c r="A84" s="115" t="s">
        <v>41</v>
      </c>
      <c r="B84" s="117" t="s">
        <v>49</v>
      </c>
      <c r="C84" s="118"/>
      <c r="D84" s="118"/>
      <c r="E84" s="119"/>
      <c r="F84" s="120" t="s">
        <v>42</v>
      </c>
      <c r="G84" s="121"/>
      <c r="H84" s="121"/>
      <c r="I84" s="121"/>
      <c r="J84" s="121"/>
      <c r="K84" s="122"/>
      <c r="L84" s="123" t="s">
        <v>43</v>
      </c>
      <c r="M84" s="113" t="s">
        <v>44</v>
      </c>
    </row>
    <row r="85" spans="1:13" s="13" customFormat="1" ht="45.75" customHeight="1" x14ac:dyDescent="0.25">
      <c r="A85" s="116"/>
      <c r="B85" s="11" t="s">
        <v>1</v>
      </c>
      <c r="C85" s="12" t="s">
        <v>2</v>
      </c>
      <c r="D85" s="11" t="s">
        <v>3</v>
      </c>
      <c r="E85" s="12" t="s">
        <v>4</v>
      </c>
      <c r="F85" s="16" t="s">
        <v>47</v>
      </c>
      <c r="G85" s="16" t="s">
        <v>50</v>
      </c>
      <c r="H85" s="16" t="s">
        <v>51</v>
      </c>
      <c r="I85" s="16" t="s">
        <v>52</v>
      </c>
      <c r="J85" s="16" t="s">
        <v>48</v>
      </c>
      <c r="K85" s="16" t="s">
        <v>53</v>
      </c>
      <c r="L85" s="124"/>
      <c r="M85" s="114"/>
    </row>
    <row r="86" spans="1:13" s="57" customFormat="1" ht="15" customHeight="1" x14ac:dyDescent="0.25">
      <c r="A86" s="56" t="s">
        <v>101</v>
      </c>
      <c r="B86" s="23" t="s">
        <v>24</v>
      </c>
      <c r="C86" s="24" t="s">
        <v>25</v>
      </c>
      <c r="D86" s="23" t="s">
        <v>24</v>
      </c>
      <c r="E86" s="24" t="s">
        <v>26</v>
      </c>
      <c r="F86" s="25">
        <f>130300*('PPI Adj'!D5)</f>
        <v>138248.29999999999</v>
      </c>
      <c r="G86" s="25">
        <f>133300*('PPI Adj'!D5)</f>
        <v>141431.29999999999</v>
      </c>
      <c r="H86" s="25">
        <f>140300*('PPI Adj'!D5)</f>
        <v>148858.29999999999</v>
      </c>
      <c r="I86" s="25"/>
      <c r="J86" s="25"/>
      <c r="K86" s="25"/>
      <c r="L86" s="25" t="s">
        <v>45</v>
      </c>
      <c r="M86" s="29">
        <v>0.22</v>
      </c>
    </row>
    <row r="87" spans="1:13" s="57" customFormat="1" ht="15" customHeight="1" x14ac:dyDescent="0.25">
      <c r="A87" s="58" t="s">
        <v>113</v>
      </c>
      <c r="B87" s="23" t="s">
        <v>21</v>
      </c>
      <c r="C87" s="24" t="s">
        <v>22</v>
      </c>
      <c r="D87" s="23" t="s">
        <v>7</v>
      </c>
      <c r="E87" s="24" t="s">
        <v>23</v>
      </c>
      <c r="F87" s="25"/>
      <c r="G87" s="25">
        <f>134069.14*('PPI Adj'!D5)</f>
        <v>142247.35754</v>
      </c>
      <c r="H87" s="25"/>
      <c r="I87" s="25">
        <f>175510.87*('PPI Adj'!D5)</f>
        <v>186217.03306999998</v>
      </c>
      <c r="J87" s="25"/>
      <c r="K87" s="25"/>
      <c r="L87" s="25" t="s">
        <v>45</v>
      </c>
      <c r="M87" s="29">
        <v>0.2</v>
      </c>
    </row>
    <row r="88" spans="1:13" s="57" customFormat="1" ht="15" customHeight="1" x14ac:dyDescent="0.25">
      <c r="A88" s="58" t="s">
        <v>107</v>
      </c>
      <c r="B88" s="23" t="s">
        <v>109</v>
      </c>
      <c r="C88" s="24" t="s">
        <v>20</v>
      </c>
      <c r="D88" s="23" t="s">
        <v>56</v>
      </c>
      <c r="E88" s="24" t="s">
        <v>20</v>
      </c>
      <c r="F88" s="25">
        <f>131590*('PPI Adj'!D5)</f>
        <v>139616.99</v>
      </c>
      <c r="G88" s="25">
        <f>133733*('PPI Adj'!D5)</f>
        <v>141890.71299999999</v>
      </c>
      <c r="H88" s="25"/>
      <c r="I88" s="25"/>
      <c r="J88" s="25"/>
      <c r="K88" s="25"/>
      <c r="L88" s="25" t="s">
        <v>45</v>
      </c>
      <c r="M88" s="29">
        <v>0.16</v>
      </c>
    </row>
    <row r="89" spans="1:13" x14ac:dyDescent="0.2">
      <c r="F89" s="39"/>
      <c r="G89" s="39"/>
      <c r="H89" s="39"/>
      <c r="I89" s="39"/>
      <c r="J89" s="39"/>
      <c r="K89" s="39"/>
    </row>
    <row r="90" spans="1:13" s="6" customFormat="1" ht="25.5" customHeight="1" x14ac:dyDescent="0.25">
      <c r="A90" s="7" t="s">
        <v>29</v>
      </c>
      <c r="B90" s="7"/>
      <c r="C90" s="8"/>
      <c r="D90" s="8"/>
      <c r="E90" s="17"/>
      <c r="F90" s="40"/>
      <c r="G90" s="40"/>
      <c r="H90" s="40"/>
      <c r="I90" s="40"/>
      <c r="J90" s="40"/>
      <c r="K90" s="40"/>
      <c r="L90" s="20"/>
      <c r="M90" s="30"/>
    </row>
    <row r="91" spans="1:13" s="13" customFormat="1" ht="15" customHeight="1" x14ac:dyDescent="0.25">
      <c r="A91" s="115" t="s">
        <v>41</v>
      </c>
      <c r="B91" s="117" t="s">
        <v>49</v>
      </c>
      <c r="C91" s="118"/>
      <c r="D91" s="118"/>
      <c r="E91" s="119"/>
      <c r="F91" s="120" t="s">
        <v>42</v>
      </c>
      <c r="G91" s="121"/>
      <c r="H91" s="121"/>
      <c r="I91" s="121"/>
      <c r="J91" s="121"/>
      <c r="K91" s="122"/>
      <c r="L91" s="123" t="s">
        <v>43</v>
      </c>
      <c r="M91" s="113" t="s">
        <v>44</v>
      </c>
    </row>
    <row r="92" spans="1:13" s="13" customFormat="1" ht="36.75" customHeight="1" x14ac:dyDescent="0.25">
      <c r="A92" s="116"/>
      <c r="B92" s="11" t="s">
        <v>1</v>
      </c>
      <c r="C92" s="12" t="s">
        <v>2</v>
      </c>
      <c r="D92" s="11" t="s">
        <v>3</v>
      </c>
      <c r="E92" s="12" t="s">
        <v>4</v>
      </c>
      <c r="F92" s="16" t="s">
        <v>47</v>
      </c>
      <c r="G92" s="16" t="s">
        <v>50</v>
      </c>
      <c r="H92" s="16" t="s">
        <v>51</v>
      </c>
      <c r="I92" s="16" t="s">
        <v>52</v>
      </c>
      <c r="J92" s="16" t="s">
        <v>48</v>
      </c>
      <c r="K92" s="16" t="s">
        <v>53</v>
      </c>
      <c r="L92" s="124"/>
      <c r="M92" s="114"/>
    </row>
    <row r="93" spans="1:13" s="57" customFormat="1" ht="15" customHeight="1" x14ac:dyDescent="0.25">
      <c r="A93" s="56" t="s">
        <v>101</v>
      </c>
      <c r="B93" s="23" t="s">
        <v>24</v>
      </c>
      <c r="C93" s="24" t="s">
        <v>25</v>
      </c>
      <c r="D93" s="23" t="s">
        <v>24</v>
      </c>
      <c r="E93" s="24" t="s">
        <v>26</v>
      </c>
      <c r="F93" s="25">
        <f>132300*('PPI Adj'!D5)</f>
        <v>140370.29999999999</v>
      </c>
      <c r="G93" s="25">
        <f>135300*('PPI Adj'!D5)</f>
        <v>143553.29999999999</v>
      </c>
      <c r="H93" s="25">
        <f>142300*('PPI Adj'!D5)</f>
        <v>150980.29999999999</v>
      </c>
      <c r="I93" s="25"/>
      <c r="J93" s="25"/>
      <c r="K93" s="25"/>
      <c r="L93" s="25" t="s">
        <v>45</v>
      </c>
      <c r="M93" s="29">
        <v>0.22</v>
      </c>
    </row>
    <row r="94" spans="1:13" s="57" customFormat="1" ht="15" customHeight="1" x14ac:dyDescent="0.25">
      <c r="A94" s="58" t="s">
        <v>113</v>
      </c>
      <c r="B94" s="23" t="s">
        <v>21</v>
      </c>
      <c r="C94" s="24" t="s">
        <v>22</v>
      </c>
      <c r="D94" s="23" t="s">
        <v>7</v>
      </c>
      <c r="E94" s="24" t="s">
        <v>23</v>
      </c>
      <c r="F94" s="25"/>
      <c r="G94" s="25">
        <f>135322.38*('PPI Adj'!D5)</f>
        <v>143577.04517999999</v>
      </c>
      <c r="H94" s="25"/>
      <c r="I94" s="25">
        <f>176194.92*('PPI Adj'!D5)</f>
        <v>186942.81012000001</v>
      </c>
      <c r="J94" s="25"/>
      <c r="K94" s="25"/>
      <c r="L94" s="25" t="s">
        <v>45</v>
      </c>
      <c r="M94" s="29">
        <v>0.2</v>
      </c>
    </row>
    <row r="95" spans="1:13" s="57" customFormat="1" ht="15" customHeight="1" x14ac:dyDescent="0.25">
      <c r="A95" s="58" t="s">
        <v>107</v>
      </c>
      <c r="B95" s="23" t="s">
        <v>109</v>
      </c>
      <c r="C95" s="24" t="s">
        <v>20</v>
      </c>
      <c r="D95" s="23" t="s">
        <v>56</v>
      </c>
      <c r="E95" s="24" t="s">
        <v>20</v>
      </c>
      <c r="F95" s="25">
        <f>132696*('PPI Adj'!D5)</f>
        <v>140790.45600000001</v>
      </c>
      <c r="G95" s="25">
        <f>135093*('PPI Adj'!D5)</f>
        <v>143333.67299999998</v>
      </c>
      <c r="H95" s="25">
        <f>143624*('PPI Adj'!D5)</f>
        <v>152385.06399999998</v>
      </c>
      <c r="I95" s="25"/>
      <c r="J95" s="25"/>
      <c r="K95" s="25"/>
      <c r="L95" s="25" t="s">
        <v>45</v>
      </c>
      <c r="M95" s="29">
        <v>0.16</v>
      </c>
    </row>
    <row r="96" spans="1:13" s="57" customFormat="1" ht="15" customHeight="1" x14ac:dyDescent="0.25">
      <c r="A96" s="58" t="s">
        <v>76</v>
      </c>
      <c r="B96" s="23" t="s">
        <v>114</v>
      </c>
      <c r="C96" s="24" t="s">
        <v>115</v>
      </c>
      <c r="D96" s="23" t="s">
        <v>114</v>
      </c>
      <c r="E96" s="24" t="s">
        <v>115</v>
      </c>
      <c r="F96" s="25"/>
      <c r="G96" s="25"/>
      <c r="H96" s="25"/>
      <c r="I96" s="25"/>
      <c r="J96" s="25"/>
      <c r="K96" s="25">
        <f>341594*('PPI Adj'!D5)</f>
        <v>362431.234</v>
      </c>
      <c r="L96" s="25" t="s">
        <v>45</v>
      </c>
      <c r="M96" s="29">
        <v>0.01</v>
      </c>
    </row>
    <row r="97" spans="1:13" s="57" customFormat="1" ht="15" customHeight="1" x14ac:dyDescent="0.25">
      <c r="A97" s="58" t="s">
        <v>107</v>
      </c>
      <c r="B97" s="23" t="s">
        <v>109</v>
      </c>
      <c r="C97" s="24" t="s">
        <v>20</v>
      </c>
      <c r="D97" s="23" t="s">
        <v>56</v>
      </c>
      <c r="E97" s="24" t="s">
        <v>20</v>
      </c>
      <c r="F97" s="25"/>
      <c r="G97" s="25"/>
      <c r="H97" s="25"/>
      <c r="I97" s="25"/>
      <c r="J97" s="25"/>
      <c r="K97" s="25">
        <f>376178*('PPI Adj'!D5)</f>
        <v>399124.85800000001</v>
      </c>
      <c r="L97" s="25" t="s">
        <v>45</v>
      </c>
      <c r="M97" s="29">
        <v>0.16</v>
      </c>
    </row>
    <row r="98" spans="1:13" s="57" customFormat="1" ht="15" customHeight="1" x14ac:dyDescent="0.25">
      <c r="A98" s="58" t="s">
        <v>113</v>
      </c>
      <c r="B98" s="23" t="s">
        <v>21</v>
      </c>
      <c r="C98" s="24" t="s">
        <v>22</v>
      </c>
      <c r="D98" s="23" t="s">
        <v>7</v>
      </c>
      <c r="E98" s="24" t="s">
        <v>23</v>
      </c>
      <c r="F98" s="25"/>
      <c r="G98" s="25"/>
      <c r="H98" s="25"/>
      <c r="I98" s="25"/>
      <c r="J98" s="25"/>
      <c r="K98" s="25">
        <f>395685.53*('PPI Adj'!D5)</f>
        <v>419822.34733000002</v>
      </c>
      <c r="L98" s="25" t="s">
        <v>45</v>
      </c>
      <c r="M98" s="29">
        <v>0.2</v>
      </c>
    </row>
    <row r="99" spans="1:13" s="57" customFormat="1" ht="15" customHeight="1" x14ac:dyDescent="0.25">
      <c r="A99" s="56" t="s">
        <v>101</v>
      </c>
      <c r="B99" s="23" t="s">
        <v>24</v>
      </c>
      <c r="C99" s="24" t="s">
        <v>25</v>
      </c>
      <c r="D99" s="23" t="s">
        <v>24</v>
      </c>
      <c r="E99" s="24" t="s">
        <v>26</v>
      </c>
      <c r="F99" s="25"/>
      <c r="G99" s="25"/>
      <c r="H99" s="25"/>
      <c r="I99" s="25"/>
      <c r="J99" s="25"/>
      <c r="K99" s="25">
        <f>397900*('PPI Adj'!D5)</f>
        <v>422171.89999999997</v>
      </c>
      <c r="L99" s="25" t="s">
        <v>45</v>
      </c>
      <c r="M99" s="29">
        <v>0.22</v>
      </c>
    </row>
    <row r="101" spans="1:13" s="6" customFormat="1" ht="25.5" customHeight="1" x14ac:dyDescent="0.25">
      <c r="A101" s="7" t="s">
        <v>117</v>
      </c>
      <c r="B101" s="7"/>
      <c r="C101" s="8"/>
      <c r="D101" s="8"/>
      <c r="E101" s="17"/>
      <c r="F101" s="22"/>
      <c r="G101" s="22"/>
      <c r="H101" s="22"/>
      <c r="I101" s="22"/>
      <c r="J101" s="22"/>
      <c r="K101" s="22"/>
      <c r="L101" s="20"/>
      <c r="M101" s="30"/>
    </row>
    <row r="102" spans="1:13" s="13" customFormat="1" ht="15" customHeight="1" x14ac:dyDescent="0.25">
      <c r="A102" s="115" t="s">
        <v>41</v>
      </c>
      <c r="B102" s="117" t="s">
        <v>49</v>
      </c>
      <c r="C102" s="118"/>
      <c r="D102" s="118"/>
      <c r="E102" s="119"/>
      <c r="F102" s="120" t="s">
        <v>42</v>
      </c>
      <c r="G102" s="121"/>
      <c r="H102" s="121"/>
      <c r="I102" s="121"/>
      <c r="J102" s="121"/>
      <c r="K102" s="122"/>
      <c r="L102" s="123" t="s">
        <v>43</v>
      </c>
      <c r="M102" s="113" t="s">
        <v>44</v>
      </c>
    </row>
    <row r="103" spans="1:13" s="13" customFormat="1" ht="37.5" customHeight="1" x14ac:dyDescent="0.25">
      <c r="A103" s="116"/>
      <c r="B103" s="11" t="s">
        <v>1</v>
      </c>
      <c r="C103" s="12" t="s">
        <v>2</v>
      </c>
      <c r="D103" s="11" t="s">
        <v>3</v>
      </c>
      <c r="E103" s="12" t="s">
        <v>4</v>
      </c>
      <c r="F103" s="16" t="s">
        <v>47</v>
      </c>
      <c r="G103" s="16" t="s">
        <v>50</v>
      </c>
      <c r="H103" s="16" t="s">
        <v>51</v>
      </c>
      <c r="I103" s="16" t="s">
        <v>52</v>
      </c>
      <c r="J103" s="16" t="s">
        <v>48</v>
      </c>
      <c r="K103" s="16" t="s">
        <v>53</v>
      </c>
      <c r="L103" s="124"/>
      <c r="M103" s="114"/>
    </row>
    <row r="104" spans="1:13" s="57" customFormat="1" ht="15" customHeight="1" x14ac:dyDescent="0.25">
      <c r="A104" s="58" t="s">
        <v>113</v>
      </c>
      <c r="B104" s="23" t="s">
        <v>7</v>
      </c>
      <c r="C104" s="24" t="s">
        <v>30</v>
      </c>
      <c r="D104" s="23" t="s">
        <v>7</v>
      </c>
      <c r="E104" s="24" t="s">
        <v>31</v>
      </c>
      <c r="F104" s="25"/>
      <c r="G104" s="25">
        <f>133783.45*('PPI Adj'!D5)</f>
        <v>141944.24045000001</v>
      </c>
      <c r="H104" s="25"/>
      <c r="I104" s="25"/>
      <c r="J104" s="25"/>
      <c r="K104" s="25"/>
      <c r="L104" s="25" t="s">
        <v>45</v>
      </c>
      <c r="M104" s="29">
        <v>0.2</v>
      </c>
    </row>
    <row r="105" spans="1:13" s="57" customFormat="1" ht="15" customHeight="1" x14ac:dyDescent="0.25">
      <c r="A105" s="56" t="s">
        <v>101</v>
      </c>
      <c r="B105" s="23" t="s">
        <v>24</v>
      </c>
      <c r="C105" s="24" t="s">
        <v>32</v>
      </c>
      <c r="D105" s="23" t="s">
        <v>24</v>
      </c>
      <c r="E105" s="24" t="s">
        <v>33</v>
      </c>
      <c r="F105" s="25"/>
      <c r="G105" s="25">
        <f>146100*('PPI Adj'!D5)</f>
        <v>155012.1</v>
      </c>
      <c r="H105" s="25"/>
      <c r="I105" s="25"/>
      <c r="J105" s="25"/>
      <c r="K105" s="25"/>
      <c r="L105" s="25" t="s">
        <v>45</v>
      </c>
      <c r="M105" s="29">
        <v>0.22</v>
      </c>
    </row>
    <row r="106" spans="1:13" s="57" customFormat="1" ht="15" hidden="1" customHeight="1" x14ac:dyDescent="0.25">
      <c r="A106" s="79" t="s">
        <v>76</v>
      </c>
      <c r="B106" s="80" t="s">
        <v>114</v>
      </c>
      <c r="C106" s="81" t="s">
        <v>116</v>
      </c>
      <c r="D106" s="80" t="s">
        <v>114</v>
      </c>
      <c r="E106" s="81" t="s">
        <v>116</v>
      </c>
      <c r="F106" s="82"/>
      <c r="G106" s="82"/>
      <c r="H106" s="82"/>
      <c r="I106" s="82"/>
      <c r="J106" s="82"/>
      <c r="K106" s="82">
        <f>286500*('PPI Adj'!D5)</f>
        <v>303976.5</v>
      </c>
      <c r="L106" s="82" t="s">
        <v>45</v>
      </c>
      <c r="M106" s="83">
        <v>0.01</v>
      </c>
    </row>
    <row r="108" spans="1:13" s="6" customFormat="1" ht="25.5" customHeight="1" x14ac:dyDescent="0.25">
      <c r="A108" s="7" t="s">
        <v>34</v>
      </c>
      <c r="B108" s="7"/>
      <c r="C108" s="8"/>
      <c r="D108" s="8"/>
      <c r="E108" s="17"/>
      <c r="F108" s="22"/>
      <c r="G108" s="22"/>
      <c r="H108" s="22"/>
      <c r="I108" s="22"/>
      <c r="J108" s="22"/>
      <c r="K108" s="22"/>
      <c r="L108" s="20"/>
      <c r="M108" s="30"/>
    </row>
    <row r="109" spans="1:13" s="13" customFormat="1" ht="15" customHeight="1" x14ac:dyDescent="0.25">
      <c r="A109" s="115" t="s">
        <v>41</v>
      </c>
      <c r="B109" s="117" t="s">
        <v>49</v>
      </c>
      <c r="C109" s="118"/>
      <c r="D109" s="118"/>
      <c r="E109" s="119"/>
      <c r="F109" s="120" t="s">
        <v>42</v>
      </c>
      <c r="G109" s="121"/>
      <c r="H109" s="121"/>
      <c r="I109" s="121"/>
      <c r="J109" s="121"/>
      <c r="K109" s="122"/>
      <c r="L109" s="123" t="s">
        <v>43</v>
      </c>
      <c r="M109" s="113" t="s">
        <v>44</v>
      </c>
    </row>
    <row r="110" spans="1:13" s="13" customFormat="1" ht="42.75" customHeight="1" x14ac:dyDescent="0.25">
      <c r="A110" s="116"/>
      <c r="B110" s="11" t="s">
        <v>1</v>
      </c>
      <c r="C110" s="12" t="s">
        <v>2</v>
      </c>
      <c r="D110" s="11" t="s">
        <v>3</v>
      </c>
      <c r="E110" s="12" t="s">
        <v>4</v>
      </c>
      <c r="F110" s="16" t="s">
        <v>47</v>
      </c>
      <c r="G110" s="16" t="s">
        <v>50</v>
      </c>
      <c r="H110" s="16" t="s">
        <v>51</v>
      </c>
      <c r="I110" s="16" t="s">
        <v>52</v>
      </c>
      <c r="J110" s="16" t="s">
        <v>48</v>
      </c>
      <c r="K110" s="16" t="s">
        <v>53</v>
      </c>
      <c r="L110" s="124"/>
      <c r="M110" s="114"/>
    </row>
    <row r="111" spans="1:13" s="57" customFormat="1" ht="15" customHeight="1" x14ac:dyDescent="0.25">
      <c r="A111" s="58" t="s">
        <v>113</v>
      </c>
      <c r="B111" s="23" t="s">
        <v>7</v>
      </c>
      <c r="C111" s="24" t="s">
        <v>30</v>
      </c>
      <c r="D111" s="23" t="s">
        <v>7</v>
      </c>
      <c r="E111" s="24" t="s">
        <v>31</v>
      </c>
      <c r="F111" s="25"/>
      <c r="G111" s="25">
        <f>142242.13*('PPI Adj'!D5)</f>
        <v>150918.89992999999</v>
      </c>
      <c r="H111" s="25"/>
      <c r="I111" s="25"/>
      <c r="J111" s="25"/>
      <c r="K111" s="25"/>
      <c r="L111" s="25" t="s">
        <v>45</v>
      </c>
      <c r="M111" s="29">
        <v>0.2</v>
      </c>
    </row>
    <row r="112" spans="1:13" s="57" customFormat="1" ht="15" customHeight="1" x14ac:dyDescent="0.25">
      <c r="A112" s="56" t="s">
        <v>101</v>
      </c>
      <c r="B112" s="23" t="s">
        <v>24</v>
      </c>
      <c r="C112" s="24" t="s">
        <v>32</v>
      </c>
      <c r="D112" s="23" t="s">
        <v>24</v>
      </c>
      <c r="E112" s="24" t="s">
        <v>32</v>
      </c>
      <c r="F112" s="25"/>
      <c r="G112" s="25">
        <f>149600*('PPI Adj'!D5)</f>
        <v>158725.6</v>
      </c>
      <c r="H112" s="25"/>
      <c r="I112" s="25"/>
      <c r="J112" s="25"/>
      <c r="K112" s="25"/>
      <c r="L112" s="25" t="s">
        <v>45</v>
      </c>
      <c r="M112" s="29">
        <v>0.22</v>
      </c>
    </row>
    <row r="113" spans="1:13" s="57" customFormat="1" ht="15" customHeight="1" x14ac:dyDescent="0.25">
      <c r="A113" s="58" t="s">
        <v>108</v>
      </c>
      <c r="B113" s="23" t="s">
        <v>110</v>
      </c>
      <c r="C113" s="24" t="s">
        <v>118</v>
      </c>
      <c r="D113" s="23" t="s">
        <v>110</v>
      </c>
      <c r="E113" s="24" t="s">
        <v>119</v>
      </c>
      <c r="F113" s="25"/>
      <c r="G113" s="25"/>
      <c r="H113" s="25"/>
      <c r="I113" s="25"/>
      <c r="J113" s="25"/>
      <c r="K113" s="25">
        <f>429903*('PPI Adj'!D5)</f>
        <v>456127.08299999998</v>
      </c>
      <c r="L113" s="25" t="s">
        <v>45</v>
      </c>
      <c r="M113" s="29">
        <v>0.01</v>
      </c>
    </row>
    <row r="115" spans="1:13" s="6" customFormat="1" ht="25.5" customHeight="1" x14ac:dyDescent="0.25">
      <c r="A115" s="7" t="s">
        <v>35</v>
      </c>
      <c r="B115" s="7"/>
      <c r="C115" s="8"/>
      <c r="D115" s="8"/>
      <c r="E115" s="17"/>
      <c r="F115" s="22"/>
      <c r="G115" s="22"/>
      <c r="H115" s="22"/>
      <c r="I115" s="22"/>
      <c r="J115" s="22"/>
      <c r="K115" s="22"/>
      <c r="L115" s="20"/>
      <c r="M115" s="30"/>
    </row>
    <row r="116" spans="1:13" s="13" customFormat="1" ht="15" customHeight="1" x14ac:dyDescent="0.25">
      <c r="A116" s="115" t="s">
        <v>41</v>
      </c>
      <c r="B116" s="117" t="s">
        <v>49</v>
      </c>
      <c r="C116" s="118"/>
      <c r="D116" s="118"/>
      <c r="E116" s="119"/>
      <c r="F116" s="120" t="s">
        <v>42</v>
      </c>
      <c r="G116" s="121"/>
      <c r="H116" s="121"/>
      <c r="I116" s="121"/>
      <c r="J116" s="121"/>
      <c r="K116" s="122"/>
      <c r="L116" s="123" t="s">
        <v>43</v>
      </c>
      <c r="M116" s="113" t="s">
        <v>44</v>
      </c>
    </row>
    <row r="117" spans="1:13" s="13" customFormat="1" ht="41.25" customHeight="1" x14ac:dyDescent="0.25">
      <c r="A117" s="116"/>
      <c r="B117" s="11" t="s">
        <v>1</v>
      </c>
      <c r="C117" s="12" t="s">
        <v>2</v>
      </c>
      <c r="D117" s="11" t="s">
        <v>3</v>
      </c>
      <c r="E117" s="12" t="s">
        <v>4</v>
      </c>
      <c r="F117" s="16" t="s">
        <v>47</v>
      </c>
      <c r="G117" s="16" t="s">
        <v>50</v>
      </c>
      <c r="H117" s="16" t="s">
        <v>51</v>
      </c>
      <c r="I117" s="16" t="s">
        <v>52</v>
      </c>
      <c r="J117" s="16" t="s">
        <v>48</v>
      </c>
      <c r="K117" s="16" t="s">
        <v>53</v>
      </c>
      <c r="L117" s="124"/>
      <c r="M117" s="114"/>
    </row>
    <row r="118" spans="1:13" s="57" customFormat="1" ht="15" customHeight="1" x14ac:dyDescent="0.25">
      <c r="A118" s="58" t="s">
        <v>113</v>
      </c>
      <c r="B118" s="23" t="s">
        <v>7</v>
      </c>
      <c r="C118" s="24" t="s">
        <v>30</v>
      </c>
      <c r="D118" s="23" t="s">
        <v>7</v>
      </c>
      <c r="E118" s="24" t="s">
        <v>31</v>
      </c>
      <c r="F118" s="25"/>
      <c r="G118" s="25">
        <f>150331.11*('PPI Adj'!D5)</f>
        <v>159501.30770999996</v>
      </c>
      <c r="H118" s="25"/>
      <c r="I118" s="25"/>
      <c r="J118" s="25"/>
      <c r="K118" s="25"/>
      <c r="L118" s="25" t="s">
        <v>45</v>
      </c>
      <c r="M118" s="29">
        <v>0.2</v>
      </c>
    </row>
    <row r="119" spans="1:13" s="57" customFormat="1" ht="15" customHeight="1" x14ac:dyDescent="0.25">
      <c r="A119" s="58" t="s">
        <v>101</v>
      </c>
      <c r="B119" s="23" t="s">
        <v>24</v>
      </c>
      <c r="C119" s="24" t="s">
        <v>32</v>
      </c>
      <c r="D119" s="23" t="s">
        <v>24</v>
      </c>
      <c r="E119" s="24" t="s">
        <v>33</v>
      </c>
      <c r="F119" s="25"/>
      <c r="G119" s="25">
        <f>153900*('PPI Adj'!D5)</f>
        <v>163287.9</v>
      </c>
      <c r="H119" s="25"/>
      <c r="I119" s="25"/>
      <c r="J119" s="25"/>
      <c r="K119" s="25"/>
      <c r="L119" s="25" t="s">
        <v>45</v>
      </c>
      <c r="M119" s="29">
        <v>0.22</v>
      </c>
    </row>
    <row r="120" spans="1:13" s="57" customFormat="1" ht="15" hidden="1" customHeight="1" x14ac:dyDescent="0.25">
      <c r="A120" s="76" t="s">
        <v>76</v>
      </c>
      <c r="B120" s="77" t="s">
        <v>114</v>
      </c>
      <c r="C120" s="78" t="s">
        <v>121</v>
      </c>
      <c r="D120" s="77" t="s">
        <v>114</v>
      </c>
      <c r="E120" s="78" t="s">
        <v>121</v>
      </c>
      <c r="F120" s="92"/>
      <c r="G120" s="92"/>
      <c r="H120" s="92"/>
      <c r="I120" s="92"/>
      <c r="J120" s="92"/>
      <c r="K120" s="92">
        <f>362386*('PPI Adj'!D5)</f>
        <v>384491.54599999997</v>
      </c>
      <c r="L120" s="92" t="s">
        <v>45</v>
      </c>
      <c r="M120" s="93">
        <v>0.01</v>
      </c>
    </row>
    <row r="121" spans="1:13" s="57" customFormat="1" ht="15" customHeight="1" x14ac:dyDescent="0.25">
      <c r="A121" s="85" t="s">
        <v>80</v>
      </c>
      <c r="B121" s="86" t="s">
        <v>99</v>
      </c>
      <c r="C121" s="87" t="s">
        <v>122</v>
      </c>
      <c r="D121" s="86" t="s">
        <v>99</v>
      </c>
      <c r="E121" s="91" t="s">
        <v>122</v>
      </c>
      <c r="F121" s="25"/>
      <c r="G121" s="25"/>
      <c r="H121" s="25"/>
      <c r="I121" s="25"/>
      <c r="J121" s="25"/>
      <c r="K121" s="25">
        <f>393900*('PPI Adj'!D5)</f>
        <v>417927.89999999997</v>
      </c>
      <c r="L121" s="25" t="s">
        <v>45</v>
      </c>
      <c r="M121" s="29">
        <v>0.16</v>
      </c>
    </row>
    <row r="122" spans="1:13" s="57" customFormat="1" ht="15" customHeight="1" x14ac:dyDescent="0.25">
      <c r="A122" s="58" t="s">
        <v>120</v>
      </c>
      <c r="B122" s="23" t="s">
        <v>110</v>
      </c>
      <c r="C122" s="24" t="s">
        <v>123</v>
      </c>
      <c r="D122" s="23" t="s">
        <v>110</v>
      </c>
      <c r="E122" s="24" t="s">
        <v>124</v>
      </c>
      <c r="F122" s="25"/>
      <c r="G122" s="25"/>
      <c r="H122" s="25"/>
      <c r="I122" s="25"/>
      <c r="J122" s="25"/>
      <c r="K122" s="25">
        <f>432622.5*('PPI Adj'!D5)</f>
        <v>459012.47249999997</v>
      </c>
      <c r="L122" s="25" t="s">
        <v>45</v>
      </c>
      <c r="M122" s="29">
        <v>0.01</v>
      </c>
    </row>
    <row r="124" spans="1:13" s="6" customFormat="1" ht="25.5" customHeight="1" x14ac:dyDescent="0.25">
      <c r="A124" s="7" t="s">
        <v>36</v>
      </c>
      <c r="B124" s="7"/>
      <c r="C124" s="8"/>
      <c r="D124" s="8"/>
      <c r="E124" s="17"/>
      <c r="F124" s="22"/>
      <c r="G124" s="22"/>
      <c r="H124" s="22"/>
      <c r="I124" s="22"/>
      <c r="J124" s="22"/>
      <c r="K124" s="22"/>
      <c r="L124" s="20"/>
      <c r="M124" s="30"/>
    </row>
    <row r="125" spans="1:13" s="13" customFormat="1" ht="15" customHeight="1" x14ac:dyDescent="0.25">
      <c r="A125" s="115" t="s">
        <v>41</v>
      </c>
      <c r="B125" s="117" t="s">
        <v>49</v>
      </c>
      <c r="C125" s="118"/>
      <c r="D125" s="118"/>
      <c r="E125" s="119"/>
      <c r="F125" s="120" t="s">
        <v>42</v>
      </c>
      <c r="G125" s="121"/>
      <c r="H125" s="121"/>
      <c r="I125" s="121"/>
      <c r="J125" s="121"/>
      <c r="K125" s="122"/>
      <c r="L125" s="123" t="s">
        <v>43</v>
      </c>
      <c r="M125" s="113" t="s">
        <v>44</v>
      </c>
    </row>
    <row r="126" spans="1:13" s="13" customFormat="1" ht="42.75" customHeight="1" x14ac:dyDescent="0.25">
      <c r="A126" s="116"/>
      <c r="B126" s="11" t="s">
        <v>1</v>
      </c>
      <c r="C126" s="12" t="s">
        <v>2</v>
      </c>
      <c r="D126" s="11" t="s">
        <v>3</v>
      </c>
      <c r="E126" s="12" t="s">
        <v>4</v>
      </c>
      <c r="F126" s="16" t="s">
        <v>47</v>
      </c>
      <c r="G126" s="16" t="s">
        <v>50</v>
      </c>
      <c r="H126" s="16" t="s">
        <v>51</v>
      </c>
      <c r="I126" s="16" t="s">
        <v>52</v>
      </c>
      <c r="J126" s="16" t="s">
        <v>48</v>
      </c>
      <c r="K126" s="16" t="s">
        <v>53</v>
      </c>
      <c r="L126" s="124"/>
      <c r="M126" s="114"/>
    </row>
    <row r="127" spans="1:13" s="57" customFormat="1" ht="15" customHeight="1" x14ac:dyDescent="0.25">
      <c r="A127" s="58" t="s">
        <v>101</v>
      </c>
      <c r="B127" s="23" t="s">
        <v>24</v>
      </c>
      <c r="C127" s="24" t="s">
        <v>39</v>
      </c>
      <c r="D127" s="23" t="s">
        <v>24</v>
      </c>
      <c r="E127" s="24" t="s">
        <v>33</v>
      </c>
      <c r="F127" s="25"/>
      <c r="G127" s="25">
        <f>156400*('PPI Adj'!D5)</f>
        <v>165940.4</v>
      </c>
      <c r="H127" s="25"/>
      <c r="I127" s="25"/>
      <c r="J127" s="25"/>
      <c r="K127" s="25"/>
      <c r="L127" s="25" t="s">
        <v>45</v>
      </c>
      <c r="M127" s="29">
        <v>0.22</v>
      </c>
    </row>
    <row r="128" spans="1:13" s="57" customFormat="1" ht="15" customHeight="1" x14ac:dyDescent="0.25">
      <c r="A128" s="58" t="s">
        <v>113</v>
      </c>
      <c r="B128" s="23" t="s">
        <v>7</v>
      </c>
      <c r="C128" s="24" t="s">
        <v>37</v>
      </c>
      <c r="D128" s="23" t="s">
        <v>7</v>
      </c>
      <c r="E128" s="24" t="s">
        <v>38</v>
      </c>
      <c r="F128" s="25"/>
      <c r="G128" s="25">
        <f>166516.7*('PPI Adj'!D5)</f>
        <v>176674.2187</v>
      </c>
      <c r="H128" s="25"/>
      <c r="I128" s="25"/>
      <c r="J128" s="25"/>
      <c r="K128" s="25"/>
      <c r="L128" s="25" t="s">
        <v>45</v>
      </c>
      <c r="M128" s="29">
        <v>0.2</v>
      </c>
    </row>
    <row r="129" spans="1:13" s="57" customFormat="1" ht="15" customHeight="1" x14ac:dyDescent="0.25">
      <c r="A129" s="58" t="s">
        <v>101</v>
      </c>
      <c r="B129" s="23" t="s">
        <v>24</v>
      </c>
      <c r="C129" s="24" t="s">
        <v>39</v>
      </c>
      <c r="D129" s="23" t="s">
        <v>24</v>
      </c>
      <c r="E129" s="24" t="s">
        <v>33</v>
      </c>
      <c r="F129" s="25"/>
      <c r="G129" s="25"/>
      <c r="H129" s="84"/>
      <c r="I129" s="25"/>
      <c r="J129" s="25"/>
      <c r="K129" s="25">
        <f>421000*('PPI Adj'!D5)</f>
        <v>446681</v>
      </c>
      <c r="L129" s="25" t="s">
        <v>45</v>
      </c>
      <c r="M129" s="29">
        <v>0.22</v>
      </c>
    </row>
    <row r="130" spans="1:13" s="42" customFormat="1" ht="15" customHeight="1" x14ac:dyDescent="0.25">
      <c r="A130" s="41"/>
      <c r="B130" s="51"/>
      <c r="C130" s="52"/>
      <c r="D130" s="51"/>
      <c r="E130" s="52"/>
      <c r="F130" s="53"/>
      <c r="G130" s="53"/>
      <c r="H130" s="53"/>
      <c r="I130" s="53"/>
      <c r="J130" s="53"/>
      <c r="K130" s="53"/>
      <c r="L130" s="53"/>
      <c r="M130" s="54"/>
    </row>
    <row r="131" spans="1:13" s="6" customFormat="1" ht="25.5" customHeight="1" x14ac:dyDescent="0.25">
      <c r="A131" s="7" t="s">
        <v>40</v>
      </c>
      <c r="B131" s="7"/>
      <c r="C131" s="8"/>
      <c r="D131" s="8"/>
      <c r="E131" s="17"/>
      <c r="F131" s="22"/>
      <c r="G131" s="22"/>
      <c r="H131" s="22"/>
      <c r="I131" s="22"/>
      <c r="J131" s="22"/>
      <c r="K131" s="22"/>
      <c r="L131" s="20"/>
      <c r="M131" s="30"/>
    </row>
    <row r="132" spans="1:13" s="13" customFormat="1" ht="15" customHeight="1" x14ac:dyDescent="0.25">
      <c r="A132" s="115" t="s">
        <v>41</v>
      </c>
      <c r="B132" s="117" t="s">
        <v>49</v>
      </c>
      <c r="C132" s="118"/>
      <c r="D132" s="118"/>
      <c r="E132" s="119"/>
      <c r="F132" s="120" t="s">
        <v>42</v>
      </c>
      <c r="G132" s="121"/>
      <c r="H132" s="121"/>
      <c r="I132" s="121"/>
      <c r="J132" s="121"/>
      <c r="K132" s="122"/>
      <c r="L132" s="123" t="s">
        <v>43</v>
      </c>
      <c r="M132" s="113" t="s">
        <v>44</v>
      </c>
    </row>
    <row r="133" spans="1:13" s="13" customFormat="1" ht="40.5" customHeight="1" x14ac:dyDescent="0.25">
      <c r="A133" s="116"/>
      <c r="B133" s="11" t="s">
        <v>1</v>
      </c>
      <c r="C133" s="12" t="s">
        <v>2</v>
      </c>
      <c r="D133" s="11" t="s">
        <v>3</v>
      </c>
      <c r="E133" s="12" t="s">
        <v>4</v>
      </c>
      <c r="F133" s="16" t="s">
        <v>47</v>
      </c>
      <c r="G133" s="16" t="s">
        <v>50</v>
      </c>
      <c r="H133" s="16" t="s">
        <v>51</v>
      </c>
      <c r="I133" s="16" t="s">
        <v>52</v>
      </c>
      <c r="J133" s="16" t="s">
        <v>48</v>
      </c>
      <c r="K133" s="16" t="s">
        <v>53</v>
      </c>
      <c r="L133" s="124"/>
      <c r="M133" s="114"/>
    </row>
    <row r="134" spans="1:13" s="57" customFormat="1" ht="15" customHeight="1" x14ac:dyDescent="0.25">
      <c r="A134" s="58" t="s">
        <v>101</v>
      </c>
      <c r="B134" s="23" t="s">
        <v>24</v>
      </c>
      <c r="C134" s="24" t="s">
        <v>39</v>
      </c>
      <c r="D134" s="23" t="s">
        <v>24</v>
      </c>
      <c r="E134" s="24" t="s">
        <v>33</v>
      </c>
      <c r="F134" s="25"/>
      <c r="G134" s="25">
        <f>157800*('PPI Adj'!D5)</f>
        <v>167425.79999999999</v>
      </c>
      <c r="H134" s="25"/>
      <c r="I134" s="25"/>
      <c r="J134" s="25"/>
      <c r="K134" s="25"/>
      <c r="L134" s="25" t="s">
        <v>45</v>
      </c>
      <c r="M134" s="29">
        <v>0.22</v>
      </c>
    </row>
    <row r="135" spans="1:13" s="57" customFormat="1" ht="15" customHeight="1" x14ac:dyDescent="0.25">
      <c r="A135" s="58" t="s">
        <v>113</v>
      </c>
      <c r="B135" s="23" t="s">
        <v>7</v>
      </c>
      <c r="C135" s="24" t="s">
        <v>37</v>
      </c>
      <c r="D135" s="23" t="s">
        <v>7</v>
      </c>
      <c r="E135" s="24" t="s">
        <v>38</v>
      </c>
      <c r="F135" s="25"/>
      <c r="G135" s="25">
        <f>163124.93*('PPI Adj'!D5)</f>
        <v>173075.55072999999</v>
      </c>
      <c r="H135" s="25"/>
      <c r="I135" s="25">
        <f>212335.61*('PPI Adj'!D5)</f>
        <v>225288.08220999996</v>
      </c>
      <c r="J135" s="25"/>
      <c r="K135" s="25"/>
      <c r="L135" s="25" t="s">
        <v>45</v>
      </c>
      <c r="M135" s="29">
        <v>0.2</v>
      </c>
    </row>
    <row r="136" spans="1:13" s="57" customFormat="1" ht="15" hidden="1" customHeight="1" x14ac:dyDescent="0.25">
      <c r="A136" s="76" t="s">
        <v>76</v>
      </c>
      <c r="B136" s="72" t="s">
        <v>114</v>
      </c>
      <c r="C136" s="73" t="s">
        <v>121</v>
      </c>
      <c r="D136" s="72" t="s">
        <v>114</v>
      </c>
      <c r="E136" s="73" t="s">
        <v>121</v>
      </c>
      <c r="F136" s="74"/>
      <c r="G136" s="74"/>
      <c r="H136" s="74"/>
      <c r="I136" s="74"/>
      <c r="J136" s="74"/>
      <c r="K136" s="74">
        <f>364300*('PPI Adj'!D5)</f>
        <v>386522.3</v>
      </c>
      <c r="L136" s="74" t="s">
        <v>45</v>
      </c>
      <c r="M136" s="75">
        <v>0.01</v>
      </c>
    </row>
    <row r="137" spans="1:13" s="57" customFormat="1" ht="15" customHeight="1" x14ac:dyDescent="0.25">
      <c r="A137" s="58" t="s">
        <v>101</v>
      </c>
      <c r="B137" s="23" t="s">
        <v>24</v>
      </c>
      <c r="C137" s="24" t="s">
        <v>39</v>
      </c>
      <c r="D137" s="23" t="s">
        <v>24</v>
      </c>
      <c r="E137" s="24" t="s">
        <v>33</v>
      </c>
      <c r="F137" s="25"/>
      <c r="G137" s="25"/>
      <c r="H137" s="25"/>
      <c r="I137" s="25"/>
      <c r="J137" s="25"/>
      <c r="K137" s="25">
        <f>422400*('PPI Adj'!D5)</f>
        <v>448166.39999999997</v>
      </c>
      <c r="L137" s="25" t="s">
        <v>45</v>
      </c>
      <c r="M137" s="29">
        <v>0.22</v>
      </c>
    </row>
    <row r="138" spans="1:13" s="57" customFormat="1" ht="15" customHeight="1" x14ac:dyDescent="0.25">
      <c r="A138" s="58" t="s">
        <v>108</v>
      </c>
      <c r="B138" s="23" t="s">
        <v>110</v>
      </c>
      <c r="C138" s="24" t="s">
        <v>125</v>
      </c>
      <c r="D138" s="23" t="s">
        <v>110</v>
      </c>
      <c r="E138" s="24" t="s">
        <v>126</v>
      </c>
      <c r="F138" s="25"/>
      <c r="G138" s="25"/>
      <c r="H138" s="25"/>
      <c r="I138" s="25"/>
      <c r="J138" s="25"/>
      <c r="K138" s="25">
        <f>431257.2*('PPI Adj'!D5)</f>
        <v>457563.88919999998</v>
      </c>
      <c r="L138" s="25" t="s">
        <v>45</v>
      </c>
      <c r="M138" s="29">
        <v>0.01</v>
      </c>
    </row>
  </sheetData>
  <sheetProtection algorithmName="SHA-512" hashValue="9RedjRPkdO9dHBEtd2akLHPWQXTW59dnBEfvOZcyvuWqpQ3UebfNPpOuK1LT4zlAuQFjtBx20ao69t7LSuWvyQ==" saltValue="H0Xq0IPlPD5osnz8USd1cQ==" spinCount="100000" sheet="1" objects="1" scenarios="1"/>
  <mergeCells count="86">
    <mergeCell ref="C4:L4"/>
    <mergeCell ref="C5:L5"/>
    <mergeCell ref="C6:L6"/>
    <mergeCell ref="C7:L7"/>
    <mergeCell ref="C8:L8"/>
    <mergeCell ref="L23:L24"/>
    <mergeCell ref="M23:M24"/>
    <mergeCell ref="B18:E18"/>
    <mergeCell ref="F18:K18"/>
    <mergeCell ref="A18:A19"/>
    <mergeCell ref="L18:L19"/>
    <mergeCell ref="M18:M19"/>
    <mergeCell ref="A23:A24"/>
    <mergeCell ref="B23:E23"/>
    <mergeCell ref="F23:K23"/>
    <mergeCell ref="A43:A44"/>
    <mergeCell ref="B43:E43"/>
    <mergeCell ref="F43:K43"/>
    <mergeCell ref="M31:M32"/>
    <mergeCell ref="L43:L44"/>
    <mergeCell ref="M43:M44"/>
    <mergeCell ref="A31:A32"/>
    <mergeCell ref="B31:E31"/>
    <mergeCell ref="F31:K31"/>
    <mergeCell ref="L31:L32"/>
    <mergeCell ref="M68:M69"/>
    <mergeCell ref="A54:A55"/>
    <mergeCell ref="B54:E54"/>
    <mergeCell ref="F54:K54"/>
    <mergeCell ref="L54:L55"/>
    <mergeCell ref="M54:M55"/>
    <mergeCell ref="A68:A69"/>
    <mergeCell ref="B68:E68"/>
    <mergeCell ref="F68:K68"/>
    <mergeCell ref="L68:L69"/>
    <mergeCell ref="L76:L77"/>
    <mergeCell ref="M76:M77"/>
    <mergeCell ref="A84:A85"/>
    <mergeCell ref="B84:E84"/>
    <mergeCell ref="F84:K84"/>
    <mergeCell ref="L84:L85"/>
    <mergeCell ref="M84:M85"/>
    <mergeCell ref="A76:A77"/>
    <mergeCell ref="B76:E76"/>
    <mergeCell ref="F76:K76"/>
    <mergeCell ref="M102:M103"/>
    <mergeCell ref="A91:A92"/>
    <mergeCell ref="B91:E91"/>
    <mergeCell ref="F91:K91"/>
    <mergeCell ref="L91:L92"/>
    <mergeCell ref="M91:M92"/>
    <mergeCell ref="A102:A103"/>
    <mergeCell ref="B102:E102"/>
    <mergeCell ref="F102:K102"/>
    <mergeCell ref="L102:L103"/>
    <mergeCell ref="M116:M117"/>
    <mergeCell ref="A109:A110"/>
    <mergeCell ref="B109:E109"/>
    <mergeCell ref="F109:K109"/>
    <mergeCell ref="L109:L110"/>
    <mergeCell ref="M109:M110"/>
    <mergeCell ref="A116:A117"/>
    <mergeCell ref="B116:E116"/>
    <mergeCell ref="F116:K116"/>
    <mergeCell ref="L116:L117"/>
    <mergeCell ref="M132:M133"/>
    <mergeCell ref="A125:A126"/>
    <mergeCell ref="B125:E125"/>
    <mergeCell ref="F125:K125"/>
    <mergeCell ref="L125:L126"/>
    <mergeCell ref="M125:M126"/>
    <mergeCell ref="A132:A133"/>
    <mergeCell ref="B132:E132"/>
    <mergeCell ref="F132:K132"/>
    <mergeCell ref="L132:L133"/>
    <mergeCell ref="A14:A15"/>
    <mergeCell ref="B14:B15"/>
    <mergeCell ref="C14:L14"/>
    <mergeCell ref="C10:L10"/>
    <mergeCell ref="B9:B10"/>
    <mergeCell ref="A9:A10"/>
    <mergeCell ref="C9:L9"/>
    <mergeCell ref="C11:L11"/>
    <mergeCell ref="C12:L12"/>
    <mergeCell ref="C15:L15"/>
    <mergeCell ref="C13:L13"/>
  </mergeCells>
  <phoneticPr fontId="11" type="noConversion"/>
  <pageMargins left="0.25" right="0.25" top="0.5" bottom="0.5" header="0.3" footer="0.3"/>
  <pageSetup paperSize="5" fitToHeight="0" orientation="landscape" r:id="rId1"/>
  <headerFooter differentFirst="1">
    <oddHeader>&amp;RPage &amp;P of &amp;N</oddHeader>
  </headerFooter>
  <rowBreaks count="4" manualBreakCount="4">
    <brk id="28" max="13" man="1"/>
    <brk id="51" max="13" man="1"/>
    <brk id="81" max="13" man="1"/>
    <brk id="11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AFE0-B630-4EF1-80D0-E9BD596B7CB7}">
  <dimension ref="B1:D5"/>
  <sheetViews>
    <sheetView workbookViewId="0">
      <selection activeCell="F17" sqref="F17"/>
    </sheetView>
  </sheetViews>
  <sheetFormatPr defaultRowHeight="15" x14ac:dyDescent="0.25"/>
  <sheetData>
    <row r="1" spans="2:4" x14ac:dyDescent="0.25">
      <c r="B1" s="60" t="s">
        <v>59</v>
      </c>
      <c r="C1" s="61"/>
      <c r="D1" s="62" t="s">
        <v>60</v>
      </c>
    </row>
    <row r="2" spans="2:4" ht="30" x14ac:dyDescent="0.25">
      <c r="B2" s="63" t="s">
        <v>127</v>
      </c>
      <c r="C2" s="61"/>
      <c r="D2" s="64">
        <v>322.79199999999997</v>
      </c>
    </row>
    <row r="3" spans="2:4" ht="30" x14ac:dyDescent="0.25">
      <c r="B3" s="65" t="s">
        <v>129</v>
      </c>
      <c r="C3" s="61"/>
      <c r="D3" s="66">
        <v>342.53899999999999</v>
      </c>
    </row>
    <row r="4" spans="2:4" ht="30" x14ac:dyDescent="0.25">
      <c r="B4" s="65" t="s">
        <v>61</v>
      </c>
      <c r="C4" s="61"/>
      <c r="D4" s="67">
        <f>D3/D2</f>
        <v>1.0611756177352598</v>
      </c>
    </row>
    <row r="5" spans="2:4" ht="30" x14ac:dyDescent="0.25">
      <c r="B5" s="68" t="s">
        <v>62</v>
      </c>
      <c r="C5" s="61"/>
      <c r="D5" s="69">
        <f>ROUND(D4,3)</f>
        <v>1.0609999999999999</v>
      </c>
    </row>
  </sheetData>
  <hyperlinks>
    <hyperlink ref="D1" r:id="rId1" display="WPU141302" xr:uid="{55B614FD-29A7-4101-9FF4-F04CA6FE2509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Award Summary</vt:lpstr>
      <vt:lpstr>PPI Adj</vt:lpstr>
      <vt:lpstr>'Award Summary'!Print_Area</vt:lpstr>
      <vt:lpstr>'Award Summary'!Print_Titles</vt:lpstr>
    </vt:vector>
  </TitlesOfParts>
  <Company>New York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Reitzel, Wendy</dc:creator>
  <cp:lastModifiedBy>Johnson, Seth R (OGS)</cp:lastModifiedBy>
  <cp:lastPrinted>2020-09-10T17:44:03Z</cp:lastPrinted>
  <dcterms:created xsi:type="dcterms:W3CDTF">2016-09-30T13:31:02Z</dcterms:created>
  <dcterms:modified xsi:type="dcterms:W3CDTF">2024-04-12T20:05:27Z</dcterms:modified>
</cp:coreProperties>
</file>